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37E998C4-C9E5-D4B9-71C8-EB1FF731991C}"/>
  <workbookPr showInkAnnotation="0" codeName="DieseArbeitsmappe"/>
  <workbookProtection workbookPassword="C77F" lockStructure="1"/>
  <bookViews>
    <workbookView xWindow="9630" yWindow="1230" windowWidth="7170" windowHeight="5820" tabRatio="711"/>
  </bookViews>
  <sheets>
    <sheet name="INTRO" sheetId="1" r:id="rId1"/>
    <sheet name="CALC" sheetId="2" r:id="rId2"/>
    <sheet name="PRINTOUT" sheetId="3" r:id="rId3"/>
    <sheet name="HEATLOSS" sheetId="13" state="hidden" r:id="rId4"/>
    <sheet name="PARAMETER_R" sheetId="7" state="hidden" r:id="rId5"/>
    <sheet name="PARAMETER_HL" sheetId="11" state="hidden" r:id="rId6"/>
    <sheet name="TEMPERATUR" sheetId="9" state="hidden" r:id="rId7"/>
    <sheet name="Language" sheetId="6" state="hidden" r:id="rId8"/>
    <sheet name="Release Info" sheetId="5" state="hidden" r:id="rId9"/>
    <sheet name="VB" sheetId="10" state="veryHidden" r:id=""/>
  </sheets>
  <definedNames>
    <definedName name="_xlnm._FilterDatabase" localSheetId="7" hidden="1">Language!$A$1:$J$101</definedName>
    <definedName name="_xlnm._FilterDatabase" localSheetId="5" hidden="1">PARAMETER_HL!$A$3:$I$88</definedName>
    <definedName name="ADDPRESS">CALC!#REF!</definedName>
    <definedName name="Dimension">PARAMETER_HL!$A$1</definedName>
    <definedName name="fillflow">CALC!$B$11</definedName>
    <definedName name="FILLHEAT">CALC!$B$15</definedName>
    <definedName name="FILLRETURN">CALC!$B$12</definedName>
    <definedName name="FILLTRENCH">CALC!$B$14</definedName>
    <definedName name="_xlnm.Print_Area" localSheetId="5">PARAMETER_HL!$A$3:$I$89</definedName>
    <definedName name="_xlnm.Print_Area" localSheetId="2">PRINTOUT!$A$1:$L$33</definedName>
    <definedName name="Type">PARAMETER_HL!$B$1</definedName>
    <definedName name="Z_D3C035BD_38DA_40E9_B8C6_982F4670808B_.wvu.PrintArea" localSheetId="2" hidden="1">PRINTOUT!$A$1:$L$30</definedName>
  </definedNames>
  <calcPr calcId="144525"/>
  <customWorkbookViews>
    <customWorkbookView name="Markus Thürnbeck - Persönliche Ansicht" guid="{D3C035BD-38DA-40E9-B8C6-982F4670808B}" mergeInterval="0" personalView="1" maximized="1" xWindow="166" yWindow="28" windowWidth="458" windowHeight="360" activeSheetId="4"/>
  </customWorkbookViews>
  <pivotCaches>
    <pivotCache cacheId="0" r:id="rId10"/>
  </pivotCaches>
</workbook>
</file>

<file path=xl/calcChain.xml><?xml version="1.0" encoding="utf-8"?>
<calcChain xmlns="http://schemas.openxmlformats.org/spreadsheetml/2006/main">
  <c r="I32" i="3" l="1"/>
  <c r="I31" i="3"/>
  <c r="Z5" i="11" l="1"/>
  <c r="Z6" i="11"/>
  <c r="Z7" i="11"/>
  <c r="Z8" i="11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28" i="11"/>
  <c r="Z29" i="11"/>
  <c r="Z30" i="11"/>
  <c r="Z31" i="11"/>
  <c r="Z32" i="11"/>
  <c r="Z33" i="11"/>
  <c r="Z34" i="11"/>
  <c r="Z35" i="11"/>
  <c r="Z36" i="11"/>
  <c r="Z37" i="11"/>
  <c r="Z38" i="11"/>
  <c r="Z39" i="11"/>
  <c r="Z40" i="11"/>
  <c r="Z41" i="11"/>
  <c r="Z42" i="11"/>
  <c r="Z43" i="11"/>
  <c r="Z44" i="11"/>
  <c r="Z45" i="11"/>
  <c r="Z46" i="11"/>
  <c r="Z47" i="11"/>
  <c r="Z48" i="11"/>
  <c r="Z49" i="11"/>
  <c r="Z50" i="11"/>
  <c r="Z51" i="11"/>
  <c r="Z52" i="11"/>
  <c r="Z53" i="11"/>
  <c r="Z54" i="11"/>
  <c r="Z55" i="11"/>
  <c r="Z56" i="11"/>
  <c r="Z57" i="11"/>
  <c r="Z58" i="11"/>
  <c r="Z59" i="11"/>
  <c r="Z60" i="11"/>
  <c r="Z61" i="11"/>
  <c r="Z62" i="11"/>
  <c r="Z63" i="11"/>
  <c r="Z64" i="11"/>
  <c r="Z65" i="11"/>
  <c r="Z66" i="11"/>
  <c r="Z67" i="11"/>
  <c r="Z68" i="11"/>
  <c r="Z69" i="11"/>
  <c r="Z70" i="11"/>
  <c r="Z71" i="11"/>
  <c r="Z72" i="11"/>
  <c r="Z73" i="11"/>
  <c r="Z74" i="11"/>
  <c r="Z75" i="11"/>
  <c r="Z76" i="11"/>
  <c r="Z77" i="11"/>
  <c r="Z78" i="11"/>
  <c r="Z79" i="11"/>
  <c r="Z80" i="11"/>
  <c r="Z81" i="11"/>
  <c r="Z82" i="11"/>
  <c r="Z83" i="11"/>
  <c r="Z84" i="11"/>
  <c r="Z85" i="11"/>
  <c r="Z86" i="11"/>
  <c r="Z87" i="11"/>
  <c r="Z88" i="11"/>
  <c r="Z4" i="11"/>
  <c r="K31" i="3"/>
  <c r="K32" i="3" s="1"/>
  <c r="B33" i="2"/>
  <c r="AC3" i="2" l="1"/>
  <c r="AC4" i="2"/>
  <c r="AC5" i="2"/>
  <c r="AC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" i="2"/>
  <c r="C31" i="7" l="1"/>
  <c r="C28" i="7"/>
  <c r="E16" i="2"/>
  <c r="E15" i="2"/>
  <c r="B16" i="2"/>
  <c r="B15" i="2"/>
  <c r="E14" i="2"/>
  <c r="B14" i="2"/>
  <c r="E12" i="2"/>
  <c r="B12" i="2"/>
  <c r="B32" i="2"/>
  <c r="B30" i="2"/>
  <c r="D13" i="2" l="1"/>
  <c r="C12" i="2" l="1"/>
  <c r="D10" i="9"/>
  <c r="B18" i="2"/>
  <c r="B13" i="2"/>
  <c r="B20" i="2"/>
  <c r="I10" i="3" s="1"/>
  <c r="B21" i="2"/>
  <c r="I9" i="3" s="1"/>
  <c r="I17" i="2" l="1"/>
  <c r="G14" i="2"/>
  <c r="H18" i="2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41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" i="11"/>
  <c r="C10" i="9"/>
  <c r="H16" i="2"/>
  <c r="I15" i="2"/>
  <c r="A9" i="13"/>
  <c r="F5" i="11" l="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4" i="11"/>
  <c r="C5" i="9"/>
  <c r="B1" i="11"/>
  <c r="C4" i="9" l="1"/>
  <c r="I28" i="2" l="1"/>
  <c r="I27" i="2"/>
  <c r="I26" i="2"/>
  <c r="I25" i="2"/>
  <c r="G28" i="2"/>
  <c r="G27" i="2"/>
  <c r="G26" i="2"/>
  <c r="G25" i="2"/>
  <c r="J23" i="2"/>
  <c r="J22" i="2"/>
  <c r="J21" i="2"/>
  <c r="G23" i="2"/>
  <c r="G22" i="2"/>
  <c r="G21" i="2"/>
  <c r="H15" i="2"/>
  <c r="H17" i="2"/>
  <c r="L13" i="2"/>
  <c r="K13" i="2"/>
  <c r="J13" i="2"/>
  <c r="I13" i="2"/>
  <c r="I12" i="2"/>
  <c r="G16" i="2"/>
  <c r="G13" i="2"/>
  <c r="G12" i="2"/>
  <c r="G10" i="2"/>
  <c r="G9" i="2"/>
  <c r="G8" i="2"/>
  <c r="C9" i="2"/>
  <c r="C8" i="2"/>
  <c r="B8" i="2"/>
  <c r="B28" i="2"/>
  <c r="B27" i="2"/>
  <c r="B26" i="2"/>
  <c r="B25" i="2"/>
  <c r="I8" i="3" s="1"/>
  <c r="B24" i="2"/>
  <c r="I7" i="3" s="1"/>
  <c r="B22" i="2"/>
  <c r="B5" i="2"/>
  <c r="B4" i="2"/>
  <c r="B3" i="2"/>
  <c r="F21" i="7" l="1"/>
  <c r="E21" i="7"/>
  <c r="D21" i="7"/>
  <c r="F20" i="7"/>
  <c r="E20" i="7"/>
  <c r="D20" i="7"/>
  <c r="F19" i="7"/>
  <c r="E19" i="7"/>
  <c r="D19" i="7"/>
  <c r="F18" i="7"/>
  <c r="E18" i="7"/>
  <c r="D18" i="7"/>
  <c r="F17" i="7"/>
  <c r="E17" i="7"/>
  <c r="D17" i="7"/>
  <c r="F16" i="7"/>
  <c r="E16" i="7"/>
  <c r="D16" i="7"/>
  <c r="F15" i="7"/>
  <c r="E15" i="7"/>
  <c r="D15" i="7"/>
  <c r="F14" i="7"/>
  <c r="E14" i="7"/>
  <c r="D14" i="7"/>
  <c r="F13" i="7"/>
  <c r="E13" i="7"/>
  <c r="D13" i="7"/>
  <c r="F12" i="7"/>
  <c r="E12" i="7"/>
  <c r="D12" i="7"/>
  <c r="F11" i="7"/>
  <c r="E11" i="7"/>
  <c r="D11" i="7"/>
  <c r="F10" i="7"/>
  <c r="E10" i="7"/>
  <c r="D10" i="7"/>
  <c r="F9" i="7"/>
  <c r="E9" i="7"/>
  <c r="D9" i="7"/>
  <c r="F8" i="7"/>
  <c r="E8" i="7"/>
  <c r="D8" i="7"/>
  <c r="F7" i="7"/>
  <c r="E7" i="7"/>
  <c r="D7" i="7"/>
  <c r="AB8" i="2" l="1"/>
  <c r="AB7" i="2"/>
  <c r="AB6" i="2"/>
  <c r="F5" i="7"/>
  <c r="K7" i="7"/>
  <c r="K8" i="7"/>
  <c r="K9" i="7"/>
  <c r="K10" i="7"/>
  <c r="K12" i="7"/>
  <c r="K11" i="7"/>
  <c r="K14" i="7"/>
  <c r="K13" i="7"/>
  <c r="K16" i="7"/>
  <c r="K15" i="7"/>
  <c r="K18" i="7"/>
  <c r="K17" i="7"/>
  <c r="K19" i="7"/>
  <c r="K20" i="7" s="1"/>
  <c r="AB2" i="2"/>
  <c r="B2" i="3"/>
  <c r="AB3" i="2"/>
  <c r="B3" i="3"/>
  <c r="AB4" i="2"/>
  <c r="B4" i="3"/>
  <c r="AB5" i="2"/>
  <c r="I12" i="3"/>
  <c r="I13" i="3"/>
  <c r="I29" i="3"/>
  <c r="B13" i="3"/>
  <c r="D13" i="3"/>
  <c r="I11" i="3"/>
  <c r="D14" i="3"/>
  <c r="E14" i="3"/>
  <c r="F14" i="3"/>
  <c r="G14" i="3"/>
  <c r="C16" i="3"/>
  <c r="B17" i="3"/>
  <c r="C18" i="3"/>
  <c r="I14" i="3"/>
  <c r="I23" i="3"/>
  <c r="K23" i="3"/>
  <c r="I26" i="3"/>
  <c r="I15" i="3"/>
  <c r="I24" i="3"/>
  <c r="K24" i="3"/>
  <c r="I27" i="3"/>
  <c r="I16" i="3"/>
  <c r="I25" i="3"/>
  <c r="K25" i="3"/>
  <c r="I28" i="3"/>
  <c r="I18" i="3"/>
  <c r="J18" i="3"/>
  <c r="I19" i="3"/>
  <c r="J19" i="3"/>
  <c r="I20" i="3"/>
  <c r="J20" i="3"/>
  <c r="I21" i="3"/>
  <c r="J21" i="3"/>
  <c r="H30" i="2" l="1"/>
  <c r="D9" i="3" s="1"/>
  <c r="E11" i="2"/>
  <c r="B11" i="2"/>
  <c r="C20" i="7"/>
  <c r="C21" i="7"/>
  <c r="C19" i="7"/>
  <c r="C17" i="7"/>
  <c r="C15" i="7"/>
  <c r="C13" i="7"/>
  <c r="C11" i="7"/>
  <c r="C9" i="7"/>
  <c r="C8" i="7"/>
  <c r="C18" i="7"/>
  <c r="C16" i="7"/>
  <c r="C14" i="7"/>
  <c r="C12" i="7"/>
  <c r="C10" i="7"/>
  <c r="C7" i="7"/>
  <c r="C24" i="7"/>
  <c r="C30" i="7" l="1"/>
  <c r="C25" i="7"/>
  <c r="C27" i="7"/>
  <c r="H12" i="2"/>
  <c r="C13" i="3" s="1"/>
  <c r="C29" i="7"/>
  <c r="C26" i="7"/>
  <c r="B9" i="13" l="1"/>
  <c r="L22" i="2"/>
  <c r="I19" i="2"/>
  <c r="D22" i="2"/>
  <c r="D20" i="2"/>
  <c r="C19" i="3"/>
  <c r="G25" i="7"/>
  <c r="D18" i="3"/>
  <c r="D20" i="3"/>
  <c r="K27" i="3"/>
  <c r="D21" i="2" l="1"/>
  <c r="K9" i="3" s="1"/>
  <c r="K10" i="3"/>
  <c r="D14" i="9"/>
  <c r="D15" i="9" s="1"/>
  <c r="C17" i="3"/>
  <c r="D16" i="3"/>
  <c r="C14" i="9" l="1"/>
  <c r="D32" i="2" s="1"/>
  <c r="D33" i="2" s="1"/>
  <c r="D24" i="2"/>
  <c r="K11" i="3"/>
  <c r="B15" i="3"/>
  <c r="K17" i="2" l="1"/>
  <c r="D9" i="9" s="1"/>
  <c r="K7" i="3"/>
  <c r="C15" i="9"/>
  <c r="C9" i="13"/>
  <c r="D9" i="13" s="1"/>
  <c r="H25" i="2"/>
  <c r="A1" i="11"/>
  <c r="G18" i="2"/>
  <c r="B19" i="3" s="1"/>
  <c r="C27" i="9"/>
  <c r="G24" i="7"/>
  <c r="H26" i="2" s="1"/>
  <c r="D25" i="2"/>
  <c r="K15" i="2"/>
  <c r="C9" i="9" s="1"/>
  <c r="K8" i="3" l="1"/>
  <c r="D27" i="2"/>
  <c r="J17" i="2" s="1"/>
  <c r="D26" i="2"/>
  <c r="D13" i="9"/>
  <c r="D20" i="9" s="1"/>
  <c r="C13" i="9"/>
  <c r="L23" i="2" s="1"/>
  <c r="F16" i="3"/>
  <c r="K18" i="3"/>
  <c r="F18" i="3"/>
  <c r="D28" i="2" l="1"/>
  <c r="K16" i="3" s="1"/>
  <c r="K28" i="3"/>
  <c r="C20" i="9"/>
  <c r="D11" i="9"/>
  <c r="D12" i="9" s="1"/>
  <c r="C11" i="9"/>
  <c r="C12" i="9" s="1"/>
  <c r="K19" i="3"/>
  <c r="J15" i="2"/>
  <c r="K14" i="3"/>
  <c r="K15" i="3"/>
  <c r="E18" i="3"/>
  <c r="G17" i="2" l="1"/>
  <c r="B18" i="3" s="1"/>
  <c r="D19" i="9"/>
  <c r="D22" i="9" s="1"/>
  <c r="D23" i="9" s="1"/>
  <c r="K18" i="2" s="1"/>
  <c r="G12" i="9"/>
  <c r="C19" i="9"/>
  <c r="C22" i="9" s="1"/>
  <c r="C23" i="9" s="1"/>
  <c r="H28" i="2"/>
  <c r="K21" i="3" s="1"/>
  <c r="H27" i="2"/>
  <c r="K20" i="3" s="1"/>
  <c r="E16" i="3"/>
  <c r="K16" i="2" l="1"/>
  <c r="L21" i="2" s="1"/>
  <c r="F19" i="3"/>
  <c r="I10" i="2"/>
  <c r="K29" i="3" s="1"/>
  <c r="F17" i="3" l="1"/>
  <c r="I8" i="2"/>
  <c r="C26" i="9" s="1"/>
  <c r="K26" i="3"/>
  <c r="C28" i="9" l="1"/>
  <c r="I9" i="2" s="1"/>
  <c r="K12" i="3"/>
  <c r="K13" i="3" l="1"/>
</calcChain>
</file>

<file path=xl/comments1.xml><?xml version="1.0" encoding="utf-8"?>
<comments xmlns="http://schemas.openxmlformats.org/spreadsheetml/2006/main">
  <authors>
    <author>Ein geschätzter Microsoft Office Anwender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Pump pressure - pressure drop of Flexalen pipework and reserve pressure e.g. for heat exchanger.
</t>
        </r>
      </text>
    </comment>
    <comment ref="D18" authorId="0">
      <text>
        <r>
          <rPr>
            <sz val="9"/>
            <color indexed="81"/>
            <rFont val="Tahoma"/>
            <family val="2"/>
          </rPr>
          <t>This Factor is used to adopt the pipe size. In general it is set to 1. Changing the factor in the range of 0,3 &lt; 1 &lt; 3 will give different dimensions in the calculation.</t>
        </r>
      </text>
    </comment>
  </commentList>
</comments>
</file>

<file path=xl/sharedStrings.xml><?xml version="1.0" encoding="utf-8"?>
<sst xmlns="http://schemas.openxmlformats.org/spreadsheetml/2006/main" count="1424" uniqueCount="997">
  <si>
    <t>TEMPERATUR VORLAUF</t>
  </si>
  <si>
    <t>TEMPERATUR RÜCKLAUF</t>
  </si>
  <si>
    <t>SPREIZUNG</t>
  </si>
  <si>
    <t>TRASSENLÄNGE</t>
  </si>
  <si>
    <t>MEDIUMMENGE</t>
  </si>
  <si>
    <t>Erdtemperatur</t>
  </si>
  <si>
    <t>Lambda Erde</t>
  </si>
  <si>
    <t>TYP</t>
  </si>
  <si>
    <t>DI</t>
  </si>
  <si>
    <t>PaT90/m</t>
  </si>
  <si>
    <t>QF</t>
  </si>
  <si>
    <t>TF</t>
  </si>
  <si>
    <t>Mediumdichte</t>
  </si>
  <si>
    <t>DRUCKVERLUSTE UND GRENZWERTE LAUT DATENBLATT</t>
  </si>
  <si>
    <t>DIMENSIONSFAKTOR</t>
  </si>
  <si>
    <t>DRUCKVERLUSTTABELLE</t>
  </si>
  <si>
    <t>ENTSPRICHT</t>
  </si>
  <si>
    <t>l/sec max</t>
  </si>
  <si>
    <t>l/sec opt</t>
  </si>
  <si>
    <t>L/sec min</t>
  </si>
  <si>
    <t>v/min</t>
  </si>
  <si>
    <t>V/max</t>
  </si>
  <si>
    <t>V/optimal</t>
  </si>
  <si>
    <t>AUSWAHL</t>
  </si>
  <si>
    <t>Vmax</t>
  </si>
  <si>
    <t>LEISTUNG kW</t>
  </si>
  <si>
    <t>VORDRUCK für Pumpe</t>
  </si>
  <si>
    <t>ARBEITSBEREICH enspricht rotem Bereich!!</t>
  </si>
  <si>
    <t>QUALITY FACTOR</t>
  </si>
  <si>
    <t>TEMPERATUR FACTOR</t>
  </si>
  <si>
    <t>SIZE TUNING</t>
  </si>
  <si>
    <t>RETURN TEMPERATURE (Tr)</t>
  </si>
  <si>
    <t>TRENCH LENGTH</t>
  </si>
  <si>
    <t>PIPE LENGTH</t>
  </si>
  <si>
    <t>OD (DIMENSION)</t>
  </si>
  <si>
    <t>USABLE LOAD</t>
  </si>
  <si>
    <t>NET VOLUME</t>
  </si>
  <si>
    <t>SOURCE</t>
  </si>
  <si>
    <t>DELTA T</t>
  </si>
  <si>
    <t>FLOW</t>
  </si>
  <si>
    <t>RETURN</t>
  </si>
  <si>
    <t>Temperature °C</t>
  </si>
  <si>
    <t>Pressure loss bar</t>
  </si>
  <si>
    <t>Dimension OD</t>
  </si>
  <si>
    <t>Lambda soil</t>
  </si>
  <si>
    <t>Trench Length</t>
  </si>
  <si>
    <t>Pressure rating</t>
  </si>
  <si>
    <t>max. Pressure</t>
  </si>
  <si>
    <t>at Service Temperature</t>
  </si>
  <si>
    <t>FLEXALEN pipes only</t>
  </si>
  <si>
    <t>PUMP</t>
  </si>
  <si>
    <t>FLOW TEMPERATURE (Tf)</t>
  </si>
  <si>
    <t>TEMPERATURE</t>
  </si>
  <si>
    <t>HEAT LOAD</t>
  </si>
  <si>
    <t>ENGLISH</t>
  </si>
  <si>
    <t>GERMAN</t>
  </si>
  <si>
    <t>INDEX</t>
  </si>
  <si>
    <t>MADE FOR DOMESTIC WATER DISTRIBUTION AND DISTRICT HEATING SUPPLY LINES</t>
  </si>
  <si>
    <t>ROHRLEITUNGSBERECHNUNG  - VERBINDUNG VON ZWEI NETZPUNKTEN MIT EINZEL- ODER DOPPELLEITUNG</t>
  </si>
  <si>
    <t>BERECHNUNG GILT FÜR WASSER IN LEITUNGSQUALITÄT UND FÜR NORMAL KONDITIONIERTES WASSER IN FERNWÄRMESYSTEMEN</t>
  </si>
  <si>
    <t>LANGUAGE</t>
  </si>
  <si>
    <t>QUALITÄTSFAKTOR</t>
  </si>
  <si>
    <t>TEMPERATURFAKTOR</t>
  </si>
  <si>
    <t>ANPASSUNG DIMENSION</t>
  </si>
  <si>
    <t>TEMPERATUR VORLAUF  (Tf)</t>
  </si>
  <si>
    <t>TEMPERATUR RÜCKLAUF (Tr)</t>
  </si>
  <si>
    <t>LEISTUNG kW QUELLE</t>
  </si>
  <si>
    <t>ROHRLÄNGE</t>
  </si>
  <si>
    <t>TEMP. DIFFERENCE (Tf - Tr)</t>
  </si>
  <si>
    <t>TEMP. SPREIZUNG (Tf - Tr)</t>
  </si>
  <si>
    <t>HEAT LOAD kW SOURCE</t>
  </si>
  <si>
    <t>VOLUMETRIC FLOW RATE</t>
  </si>
  <si>
    <t>DA (DIMENSION)</t>
  </si>
  <si>
    <t>FLIESSGESCHWINDIGKEIT</t>
  </si>
  <si>
    <t>DRUCKVERLUST VORLAUF</t>
  </si>
  <si>
    <t>DRUCKVERLUST RÜCKLAUF</t>
  </si>
  <si>
    <t>DRUCKVERLUST GESAMT</t>
  </si>
  <si>
    <t>VELOCITY</t>
  </si>
  <si>
    <t>PRESSURE DROP FLOW</t>
  </si>
  <si>
    <t>PRESSURE DROP RETURN</t>
  </si>
  <si>
    <t>PRESSURE DROP TOTAL</t>
  </si>
  <si>
    <t>BULAGRIAN</t>
  </si>
  <si>
    <t>NUTZSPREIZUNG</t>
  </si>
  <si>
    <t>NUTZLAST</t>
  </si>
  <si>
    <t>NETZVOLUMEN</t>
  </si>
  <si>
    <t>USABLE TEMP. DIFF.</t>
  </si>
  <si>
    <t>QUELLE</t>
  </si>
  <si>
    <t>TEMP. DIFF.</t>
  </si>
  <si>
    <t>OHNE</t>
  </si>
  <si>
    <t>NO</t>
  </si>
  <si>
    <t>PUMPE</t>
  </si>
  <si>
    <t>VORDRUCK FÜR PUMPENAUSLEGUNG</t>
  </si>
  <si>
    <t>RESERVE PRESSURE FOR PUMP</t>
  </si>
  <si>
    <t>Temperatur °C</t>
  </si>
  <si>
    <t>Druckverlust bar</t>
  </si>
  <si>
    <t>Dimension DA</t>
  </si>
  <si>
    <t>END - PUNKT</t>
  </si>
  <si>
    <t>PIPE SIZING FOR SINGLE OR DOUBLE LINES BETWEEN 2 NET POSITIONS</t>
  </si>
  <si>
    <t>END POINT</t>
  </si>
  <si>
    <t>not appliable</t>
  </si>
  <si>
    <t xml:space="preserve">VORLAUF </t>
  </si>
  <si>
    <t xml:space="preserve">RÜCKLAUF </t>
  </si>
  <si>
    <t>entfällt</t>
  </si>
  <si>
    <t>Temperaturabfall VORLAUF</t>
  </si>
  <si>
    <t>Trassenlänge</t>
  </si>
  <si>
    <t>Verweildauer VORLAUF</t>
  </si>
  <si>
    <t>Soil temperature</t>
  </si>
  <si>
    <t>Dwell time Flow</t>
  </si>
  <si>
    <t>Temperature drop Flow</t>
  </si>
  <si>
    <t>Druckreihe</t>
  </si>
  <si>
    <t>Maximaldruck</t>
  </si>
  <si>
    <t>Druckverlust</t>
  </si>
  <si>
    <t>Druckreserve</t>
  </si>
  <si>
    <t>Pressure drop</t>
  </si>
  <si>
    <t>Reserve press.</t>
  </si>
  <si>
    <t>bei Anwendungstemperatur</t>
  </si>
  <si>
    <t>im FLEXALEN Rohr</t>
  </si>
  <si>
    <t>PLEASE CHOOSE APPLICATION:</t>
  </si>
  <si>
    <t>BITTE ANWENDUNG WÄHLEN:</t>
  </si>
  <si>
    <t>SUPPLY LINE →</t>
  </si>
  <si>
    <t>HEATING / COOLING →</t>
  </si>
  <si>
    <t>HEIZUNG / KÜHLUNG →</t>
  </si>
  <si>
    <t>SANITÄR →</t>
  </si>
  <si>
    <t>SANITÄR (EINROHRSYSTEM)</t>
  </si>
  <si>
    <t>HEIZUNG / KÜHLUNG (VL / RL)</t>
  </si>
  <si>
    <t>SUPPLY LINE (SINGLE LINE)</t>
  </si>
  <si>
    <t>HEATING / COOLING (F / R)</t>
  </si>
  <si>
    <t xml:space="preserve">LANGUAGE:   </t>
  </si>
  <si>
    <t>ОРАЗМЕРЯВАНЕ НА ТРЪБОПРОВОД - СЪЕДИНЯВАНЕ НА 2 ТОЧКИ ЧРЕЗ ЕДНО- ИЛИ ДВУТРЪБНА СИСТЕМА</t>
  </si>
  <si>
    <t>ИЗЧИСЛЕНИЕТО Е ВАЛИДНО ЗА ПИТЕЙНА ВОДА И ЗА ВОДА ПРИГОДНА ЗА ОТОПЛИТЕЛНИ СИСТЕМИ</t>
  </si>
  <si>
    <t>ПОЛЕЗЕН ТОВАР</t>
  </si>
  <si>
    <t>ОБЕМ НА СИСТЕМАТА</t>
  </si>
  <si>
    <t>КАЧЕСТВЕН  ФАКТОР</t>
  </si>
  <si>
    <t>ТЕМПЕРАТУРЕН  ФАКТОР</t>
  </si>
  <si>
    <t>ДИМЕНЗИЯ ЗА НАПАСВАНЕ</t>
  </si>
  <si>
    <t>ДЪЛЖИНА НА ТРАСЕТО</t>
  </si>
  <si>
    <t>ПОДАВАНА МОЩНОСТ</t>
  </si>
  <si>
    <t>ДЕБИТ</t>
  </si>
  <si>
    <t>ДЪЛЖИНА НА ТРЪБИТЕ</t>
  </si>
  <si>
    <t>DA (външен диаметър на тръбата)</t>
  </si>
  <si>
    <t>СКОРОСТ НА ПОТОКА</t>
  </si>
  <si>
    <t>САНИТАРИЯ / БГВ</t>
  </si>
  <si>
    <t>ОТОПЛЕНИЕ</t>
  </si>
  <si>
    <t>ИЗТОЧНИК</t>
  </si>
  <si>
    <t>няма</t>
  </si>
  <si>
    <t>ПОМПА</t>
  </si>
  <si>
    <t>ПРЕДПИСАНИЕ ЗА ИЗБОР НА ПОМПА</t>
  </si>
  <si>
    <t>Температура °C</t>
  </si>
  <si>
    <t>Загуба на налягане bar</t>
  </si>
  <si>
    <t>Размер на тръбата DA</t>
  </si>
  <si>
    <t>ПОДАВАНЕ</t>
  </si>
  <si>
    <t>НЯМА</t>
  </si>
  <si>
    <t>ВРЪЩАНЕ</t>
  </si>
  <si>
    <t>Темп.загуба ПОДАВАНЕ</t>
  </si>
  <si>
    <t>Дължина на ТРАСЕТО</t>
  </si>
  <si>
    <t>Времетраене на ПОТОКА</t>
  </si>
  <si>
    <t>Налягане</t>
  </si>
  <si>
    <t>Max налягане</t>
  </si>
  <si>
    <t>САНИТАРИЯ / БГВ →</t>
  </si>
  <si>
    <t>ОТОПЛЕНИЕ  →</t>
  </si>
  <si>
    <t>в тръбите</t>
  </si>
  <si>
    <t>Въведи температура в °C:</t>
  </si>
  <si>
    <t>Въведи дължина на трасето в м:</t>
  </si>
  <si>
    <t>Въведи дебит в л/сек:</t>
  </si>
  <si>
    <t>Въведи налягане в крайна точка в bar:</t>
  </si>
  <si>
    <t>Въведи температура на подаване в °C:</t>
  </si>
  <si>
    <t>Въведи възвратна температура в °C:</t>
  </si>
  <si>
    <t>Въведи мощност в крайна точка в kW:</t>
  </si>
  <si>
    <t xml:space="preserve">Flexalen QuickCalc </t>
  </si>
  <si>
    <t>Flexalen 600</t>
  </si>
  <si>
    <t>Date</t>
  </si>
  <si>
    <t>Version</t>
  </si>
  <si>
    <t>Changes</t>
  </si>
  <si>
    <t xml:space="preserve">DUTCH </t>
  </si>
  <si>
    <t>FRENCH</t>
  </si>
  <si>
    <t>RUSSIAN</t>
  </si>
  <si>
    <t>GESCHIKT VOOR TAPWATER EN WARMTE/KOUDE DISTRIBUTIE</t>
  </si>
  <si>
    <t>TEMPERATUUR FACTOR</t>
  </si>
  <si>
    <t>AANVOER TEMPERATUUR</t>
  </si>
  <si>
    <t>RETOUR TEMPERATUUR</t>
  </si>
  <si>
    <t>TEMPERATUUR VERSCHIL</t>
  </si>
  <si>
    <t>TRACEE LENGTE</t>
  </si>
  <si>
    <t>VOLUMESTROOM</t>
  </si>
  <si>
    <t>BUIS LENGTE</t>
  </si>
  <si>
    <t>BUITEN DIAMETER</t>
  </si>
  <si>
    <t>SNELHEID</t>
  </si>
  <si>
    <t>DRUKVERLIES AANVOER</t>
  </si>
  <si>
    <t>DRUKVERLIES RETOUR</t>
  </si>
  <si>
    <t>DRUKVERLIES TOTAAL</t>
  </si>
  <si>
    <t>VERWARMING / KOELING</t>
  </si>
  <si>
    <t>NUTTIG TEMPERATUURVERSCHIL</t>
  </si>
  <si>
    <t>NUTTIG VERMOGEN</t>
  </si>
  <si>
    <t>NETTO VOLUME</t>
  </si>
  <si>
    <t>BRON</t>
  </si>
  <si>
    <t>NEE</t>
  </si>
  <si>
    <t>POMP</t>
  </si>
  <si>
    <t>DRUKRESERVE VOOR POMP</t>
  </si>
  <si>
    <t>AANVOER</t>
  </si>
  <si>
    <t>RETOUR</t>
  </si>
  <si>
    <t>N.V.T.</t>
  </si>
  <si>
    <t>VUL DE TEMPERATUUR IN VAN HET MEDIUM</t>
  </si>
  <si>
    <r>
      <t xml:space="preserve">Temperatuur </t>
    </r>
    <r>
      <rPr>
        <sz val="10"/>
        <color indexed="8"/>
        <rFont val="Calibri"/>
        <family val="2"/>
      </rPr>
      <t>°</t>
    </r>
    <r>
      <rPr>
        <sz val="10"/>
        <color indexed="8"/>
        <rFont val="Arial"/>
        <family val="2"/>
      </rPr>
      <t>C</t>
    </r>
  </si>
  <si>
    <t>Drukverlies (bar)</t>
  </si>
  <si>
    <t>Temperatuurverlies Aanvoer</t>
  </si>
  <si>
    <t>Tracee Lengte</t>
  </si>
  <si>
    <t>Verblijfstijd Stroming</t>
  </si>
  <si>
    <t>Drukklasse</t>
  </si>
  <si>
    <t>Drukval</t>
  </si>
  <si>
    <t xml:space="preserve">Drukreserve  </t>
  </si>
  <si>
    <t>TOEVOERLEIDING →</t>
  </si>
  <si>
    <t>VERWARMING / KOELING →</t>
  </si>
  <si>
    <t>Single pipe system:</t>
  </si>
  <si>
    <t>Twin line system:</t>
  </si>
  <si>
    <t>Usable load</t>
  </si>
  <si>
    <t>CALCULATION TEMPERATURE DROP:</t>
  </si>
  <si>
    <t>VS-R200A110</t>
  </si>
  <si>
    <t>VS-RS40A16</t>
  </si>
  <si>
    <t>VS-RS40A20</t>
  </si>
  <si>
    <t>FV-R315A225</t>
  </si>
  <si>
    <t>FV-R250A160</t>
  </si>
  <si>
    <t>FV-R225A140</t>
  </si>
  <si>
    <t>1st multilingual language: english, german, bulgarian, dutch, Heatloss - temperature drop updated / new outlook,...</t>
  </si>
  <si>
    <t>v8.00 (beta)</t>
  </si>
  <si>
    <t>checked by several people and corrected</t>
  </si>
  <si>
    <t>ТЕМПЕРАТУРА ПОДАВАНЕ</t>
  </si>
  <si>
    <t>ВЪЗВРАТЕНА ТЕМПЕРАТУРА</t>
  </si>
  <si>
    <t>ТЕРМОРАЗЛИКА (захр./връщ.)</t>
  </si>
  <si>
    <t>ЗАГУБА НАЛЯГАНЕ / ПОДАВАНЕ</t>
  </si>
  <si>
    <t>ЗАГУБА НАЛЯГАНЕ / ВРЪЩАНЕ</t>
  </si>
  <si>
    <t>ЗАГУБА НАЛЯГАНЕ ОБЩО</t>
  </si>
  <si>
    <t>ТЕРМОРАЗЛИКА</t>
  </si>
  <si>
    <t>температура земя</t>
  </si>
  <si>
    <t>дълб. на полагане</t>
  </si>
  <si>
    <t>Lambda земя</t>
  </si>
  <si>
    <t>загуба налягане</t>
  </si>
  <si>
    <t>резерв налягане</t>
  </si>
  <si>
    <t>при прилаганата темпер.</t>
  </si>
  <si>
    <t>МОЛЯ ИЗБЕРЕТЕ ПРИЛОЖЕНИЕТО:</t>
  </si>
  <si>
    <t>OPTIMALISERINGS FACTOR</t>
  </si>
  <si>
    <t>°C</t>
  </si>
  <si>
    <t>m</t>
  </si>
  <si>
    <t>kW</t>
  </si>
  <si>
    <t>bar</t>
  </si>
  <si>
    <t>l/s</t>
  </si>
  <si>
    <t xml:space="preserve">m </t>
  </si>
  <si>
    <t>VUL DE AANVOER TEMPERATUUR IN</t>
  </si>
  <si>
    <t>VUL DE RETOUR TEMPERATUUR IN</t>
  </si>
  <si>
    <t>FILL IN TRENCH LENGTH</t>
  </si>
  <si>
    <t>QUANTITY OF LIQUID</t>
  </si>
  <si>
    <t>FLOW TEMPERATURE</t>
  </si>
  <si>
    <t>RETURN TEMPERATURE</t>
  </si>
  <si>
    <t>ADDITIONAL PRESSURE FOR PUMP</t>
  </si>
  <si>
    <t xml:space="preserve">TEMPERATUR RÜCKLAUF </t>
  </si>
  <si>
    <t>ÜBERTRAGENE LEISTUNG ab HEIZHAUS</t>
  </si>
  <si>
    <t xml:space="preserve">VORDRUCK für PUMPE </t>
  </si>
  <si>
    <t>CE PROGRAMME EST DEFINI POUR LE CALCUL DES RESEAUX DE CHAUFFAGE ET DE DISTRIBUTION D'EAU SANITAIRE</t>
  </si>
  <si>
    <t>FACT QUALITE</t>
  </si>
  <si>
    <t>FACT TEMPERATURE</t>
  </si>
  <si>
    <t>ADAPTATION DIAMETRE</t>
  </si>
  <si>
    <t>TEMPERATURE DEPART</t>
  </si>
  <si>
    <t>TEMPERATURE RETOUR</t>
  </si>
  <si>
    <t>DELTA T (Td-Tr)</t>
  </si>
  <si>
    <t>L.TRANCHEE(m)</t>
  </si>
  <si>
    <t>PUISSANCE DEPART</t>
  </si>
  <si>
    <t>DEBIT</t>
  </si>
  <si>
    <t>L.TUBES (m)</t>
  </si>
  <si>
    <t>DIAMETRE EXT.</t>
  </si>
  <si>
    <t>VITESSE</t>
  </si>
  <si>
    <t>PERTES CH. DEPART</t>
  </si>
  <si>
    <t>PERTES CH. RETOUR</t>
  </si>
  <si>
    <t>PERTES CH. TOTALES</t>
  </si>
  <si>
    <t>LIGNE SIMPLE</t>
  </si>
  <si>
    <t>ALLER+RETOUR</t>
  </si>
  <si>
    <t>DELTA T UTILE</t>
  </si>
  <si>
    <t>PUISS UTILE</t>
  </si>
  <si>
    <t>VOL. RESEAU</t>
  </si>
  <si>
    <t>DEPART</t>
  </si>
  <si>
    <t xml:space="preserve">DELTA T </t>
  </si>
  <si>
    <t>0 K</t>
  </si>
  <si>
    <t>POMPE</t>
  </si>
  <si>
    <t xml:space="preserve">PERTES CH. ADDITIONNELLES </t>
  </si>
  <si>
    <t>Température °C</t>
  </si>
  <si>
    <t>Pertes ch. Lin.</t>
  </si>
  <si>
    <t>Diamètre Ext</t>
  </si>
  <si>
    <t>DESTINATION</t>
  </si>
  <si>
    <t>Inapplicable</t>
  </si>
  <si>
    <t xml:space="preserve">Température Sol </t>
  </si>
  <si>
    <t>Lambda Sol</t>
  </si>
  <si>
    <t>Chute temp. ligne départ</t>
  </si>
  <si>
    <t>Long.Tranch.m</t>
  </si>
  <si>
    <t>Durée Ecoulement</t>
  </si>
  <si>
    <t>Press. Service</t>
  </si>
  <si>
    <t>Press. Max.</t>
  </si>
  <si>
    <t>Pertes Chges.</t>
  </si>
  <si>
    <t>Réserve Press.</t>
  </si>
  <si>
    <t>à 95°C</t>
  </si>
  <si>
    <t>à Température de Service</t>
  </si>
  <si>
    <t>Rés. FLEXALEN seul</t>
  </si>
  <si>
    <t>CHOIX DE L'APPLICATION</t>
  </si>
  <si>
    <t>Ligne Simple</t>
  </si>
  <si>
    <t>LONGUEUR DE TRANCHÉE</t>
  </si>
  <si>
    <t>Press. additionnelle à la pompe</t>
  </si>
  <si>
    <t>LONG.TRANCH.</t>
  </si>
  <si>
    <t>PUISSANCE</t>
  </si>
  <si>
    <t>PRESS. ADDITIONNELLE A LA POMPE</t>
  </si>
  <si>
    <t>TEMPERATUR</t>
  </si>
  <si>
    <t>VORDRUCK für PUMPE</t>
  </si>
  <si>
    <t>Coverage</t>
  </si>
  <si>
    <t>Überdeckung</t>
  </si>
  <si>
    <t>at 95°C</t>
  </si>
  <si>
    <t>bei 95°C</t>
  </si>
  <si>
    <t>при 95°C</t>
  </si>
  <si>
    <t>bij 95°C</t>
  </si>
  <si>
    <t>ROMANIAN</t>
  </si>
  <si>
    <t>DIMENSIONARE CONDUCTE CIRCUITE SIMPLE SAU DUBLE INTRE DOUA PUNCTE DIN RETEA</t>
  </si>
  <si>
    <t xml:space="preserve">FABRICATE PENTRU RETELE DE DISTRIBUTIE A ENERGIEI TERMICE SI APEI MENAJERE </t>
  </si>
  <si>
    <t>FACTOR CALITATE</t>
  </si>
  <si>
    <t>FACTOR TEMPERATURA</t>
  </si>
  <si>
    <t>OPTIMIZARE DIMENSIONARE</t>
  </si>
  <si>
    <t>TEMPERATURA TUR</t>
  </si>
  <si>
    <t>TEMPERATURA RETUR</t>
  </si>
  <si>
    <t>DIFERENTA TEMPERATURA</t>
  </si>
  <si>
    <t>LUNGIME SANT</t>
  </si>
  <si>
    <t>PUTERE SURSA kW</t>
  </si>
  <si>
    <t>DEBIT VOLUMETRIC</t>
  </si>
  <si>
    <t>LUNGIME CONDUCTA</t>
  </si>
  <si>
    <t>DE(DIMENSIUNE)</t>
  </si>
  <si>
    <t>VITEZA</t>
  </si>
  <si>
    <t>PIERDERE PRESIUNE TUR</t>
  </si>
  <si>
    <t>PIERDERE PRESIUNE RETUR</t>
  </si>
  <si>
    <t>PIERDERE TOTALA PRESIUNE</t>
  </si>
  <si>
    <t>CIRCUIT ALIMENTARE (ACM)</t>
  </si>
  <si>
    <t>INCALZIRE/RACIRE(TUR-RETUR)</t>
  </si>
  <si>
    <t>DIFERENTA TEMPERATURA UTILA</t>
  </si>
  <si>
    <t>PUTERE UTILA</t>
  </si>
  <si>
    <t>VOLUM NET</t>
  </si>
  <si>
    <t>SURSA</t>
  </si>
  <si>
    <t>NU</t>
  </si>
  <si>
    <t>POMPA</t>
  </si>
  <si>
    <t>REZERVA PRESIUNE POMPA</t>
  </si>
  <si>
    <t>Temperatura °C</t>
  </si>
  <si>
    <t>Pierdere presiune bar</t>
  </si>
  <si>
    <t>Diametru exterior</t>
  </si>
  <si>
    <t>PUNCT FINAL</t>
  </si>
  <si>
    <t>TUR</t>
  </si>
  <si>
    <t>RETUR</t>
  </si>
  <si>
    <t>Neaplicabil</t>
  </si>
  <si>
    <t>Temperatura sol</t>
  </si>
  <si>
    <t>Adancime sant</t>
  </si>
  <si>
    <t>Pierdere temperatura tur</t>
  </si>
  <si>
    <t>Lungime sant</t>
  </si>
  <si>
    <t>DURATA PARCURS TUR</t>
  </si>
  <si>
    <t>PRESIUNEA REGIM</t>
  </si>
  <si>
    <t>Presiune Max.</t>
  </si>
  <si>
    <t>Cadere Presiune</t>
  </si>
  <si>
    <t>Rezerva presiune</t>
  </si>
  <si>
    <t>la Temperatura de lucru</t>
  </si>
  <si>
    <t>Conducte Flexalen</t>
  </si>
  <si>
    <t>VA RUGAM ALEGETI APLICATIA</t>
  </si>
  <si>
    <t>SISTEM CONDUCTA SIMPLA</t>
  </si>
  <si>
    <t>Circuit dublu</t>
  </si>
  <si>
    <t>Kw</t>
  </si>
  <si>
    <t>SARCINA TERMICA</t>
  </si>
  <si>
    <t>PRESIUNE SUPLIMENTARA POMPA</t>
  </si>
  <si>
    <t>TEMPERATURA</t>
  </si>
  <si>
    <t>TURKISH</t>
  </si>
  <si>
    <t>İKİ NOKTA ARASINDAKİ TEKLİ VEYA İKİLİ HATLAR İÇİN BORU EBADI</t>
  </si>
  <si>
    <t>SICAK-SOĞUK SU TESİSATLARI VE BÖLGESEL  ISITMA  HATLARI İÇİN YAPILMIŞTIR</t>
  </si>
  <si>
    <t>KALİTE FAKTÖRÜ</t>
  </si>
  <si>
    <t>SICAKLIK FAKTÖRÜ</t>
  </si>
  <si>
    <t>BOYUT AYARLAMA</t>
  </si>
  <si>
    <t>GİDİŞ SICAKLIĞI [°C] Tg</t>
  </si>
  <si>
    <t>DÖNÜŞ SICAKLIĞI [°C] Td</t>
  </si>
  <si>
    <t>SICAKLIK FARKI  (Tg - Td)</t>
  </si>
  <si>
    <t>TRANŞE(KANAL) UZUNLUĞU</t>
  </si>
  <si>
    <t>ISI KAYNAĞI YÜKÜ ( KW )</t>
  </si>
  <si>
    <t>HACİMSEL DEBİ</t>
  </si>
  <si>
    <t>BORU UZUNLUĞU</t>
  </si>
  <si>
    <t>BORU DIŞ ÇAPI ÖLÇÜSÜ</t>
  </si>
  <si>
    <t>HIZ</t>
  </si>
  <si>
    <t>GİDİŞ HATTI BASINÇ KAYBI</t>
  </si>
  <si>
    <t>DÖNÜŞ HATI BASINÇ KAYBI</t>
  </si>
  <si>
    <t>TOPLAM BASINÇ KAYBI</t>
  </si>
  <si>
    <t>BESLEME HATTI ( TEK HAT )</t>
  </si>
  <si>
    <t>ISITMA / SOĞUTMA</t>
  </si>
  <si>
    <t>KULLANILIR SICAKLIK FARKI</t>
  </si>
  <si>
    <t>KULLANILIR ISI YÜKÜ</t>
  </si>
  <si>
    <t>NET HACİM</t>
  </si>
  <si>
    <t>KAYNAK</t>
  </si>
  <si>
    <t>SICAKLIK FARKI</t>
  </si>
  <si>
    <t>HAYIR</t>
  </si>
  <si>
    <t>POMPA YEDEK BASINCI</t>
  </si>
  <si>
    <t>Sıcaklık °C</t>
  </si>
  <si>
    <t xml:space="preserve">Basınç kaybı [bar] </t>
  </si>
  <si>
    <t>Boyut ( DIŞ ÇAP)</t>
  </si>
  <si>
    <t>SON NOKTA</t>
  </si>
  <si>
    <t>GİDİŞ HATTI</t>
  </si>
  <si>
    <t>DÖNÜŞ HATTI</t>
  </si>
  <si>
    <t>Uygulanamaz</t>
  </si>
  <si>
    <t>Toprak (zemin) sıcaklığı</t>
  </si>
  <si>
    <t xml:space="preserve">Toprak (zemin) ısı iletkenlik katsayısı </t>
  </si>
  <si>
    <t>Tranşe (kanal) uzunluğu</t>
  </si>
  <si>
    <t>Akış süresi</t>
  </si>
  <si>
    <t>Basınç değeri</t>
  </si>
  <si>
    <t>max.Basınç</t>
  </si>
  <si>
    <t xml:space="preserve">Basınç kaybı bar </t>
  </si>
  <si>
    <t>İşletme sıcaklığında</t>
  </si>
  <si>
    <t>Sadece FLEXALEN borular</t>
  </si>
  <si>
    <t>LÜTFEN UYGULAMAYI SEÇİN:</t>
  </si>
  <si>
    <t>BESLEME HATTI ( TEK HAT ) →</t>
  </si>
  <si>
    <t>ISITMA / SOĞUTMA →</t>
  </si>
  <si>
    <t>Tek Borulu Sistemler:</t>
  </si>
  <si>
    <t>Çift Hatlı(gidiş-dönüş) Sistemler:</t>
  </si>
  <si>
    <t>la  95°C</t>
  </si>
  <si>
    <t>95°C de</t>
  </si>
  <si>
    <t>SICAKLIK</t>
  </si>
  <si>
    <t>TRANŞE(KANAL) UZUNLUĞUNU GİR</t>
  </si>
  <si>
    <t xml:space="preserve">AKIŞKANIN  DEBİSİ </t>
  </si>
  <si>
    <t>POMPA İLAVE BASINCI</t>
  </si>
  <si>
    <t>ISI YÜKÜ</t>
  </si>
  <si>
    <t>LIGNE SIMPLE →</t>
  </si>
  <si>
    <t>A/R CHAUF/EAU.GL →</t>
  </si>
  <si>
    <t>CIRCUIT A.C.M →</t>
  </si>
  <si>
    <t>INCALZIRE/RACIRE  →</t>
  </si>
  <si>
    <t>KW</t>
  </si>
  <si>
    <t>РАСЧЕТ ДИАМЕТРА ТРУБ ДЛЯ ОДНОТРУБНОЙ ИЛИ ДВУХТРУБНОЙ СИСТЕМ МЕЖДУ ДВУМЯ ТОЧКАМИ</t>
  </si>
  <si>
    <t>ЭТОТ РАСЧЕТ СДЕЛАН ДЛЯ СИСТЕМ БЫТОВОГО ВОДОСНАБЖЕНИЯ И ЦЕНТРАЛЬНОГО ОТОПЛЕНИЯ</t>
  </si>
  <si>
    <t>КАЧЕСТВЕННЫЙ ФАКТОР</t>
  </si>
  <si>
    <t>ТЕМПЕРАТУРНЫЙ ФАКТОР</t>
  </si>
  <si>
    <t>ПОДБОР ДИАМЕТРА</t>
  </si>
  <si>
    <t>РАЗНИЦА ТЕМПЕРАТУР (Tп - Tо)</t>
  </si>
  <si>
    <t>ДЛИНА ТРАНШЕИ</t>
  </si>
  <si>
    <t>ТЕПЛОВАЯ НАГРУЗКА, кВт</t>
  </si>
  <si>
    <t>ОБЪЕМНЫЙ РАСХОД</t>
  </si>
  <si>
    <t>ДЛИНА ТРУБ</t>
  </si>
  <si>
    <t>Dнар. НАРУЖНЫЙ ДИАМЕТР</t>
  </si>
  <si>
    <t>СКОРОСТЬ ПОТОКА</t>
  </si>
  <si>
    <t>ПОТЕРЯ ДАВЛЕНИЯ В "ПОДАЧЕ"</t>
  </si>
  <si>
    <t>ПОТЕРЯ ДАВЛЕНИЯ В "ОБРАТКЕ"</t>
  </si>
  <si>
    <t>ОБЩИЕ ПОТЕРИ ДАВЛЕНИЯ</t>
  </si>
  <si>
    <t>ВОДОСНАБЖЕНИЕ (ОДНОТРУБНАЯ СИСТЕМА)</t>
  </si>
  <si>
    <t>ОТОПЛЕНИЕ (ДВУХТРУБНАЯ СИСТЕМА)</t>
  </si>
  <si>
    <t>ОБЪЕМ СИСТЕМЫ</t>
  </si>
  <si>
    <t xml:space="preserve">РАЗНИЦА ТЕМПЕРАТУР </t>
  </si>
  <si>
    <t>НЕТ</t>
  </si>
  <si>
    <t>НАСОС</t>
  </si>
  <si>
    <t>Потери давления bar</t>
  </si>
  <si>
    <t>ДИАМЕТР Dнар.</t>
  </si>
  <si>
    <t>"ПОДАЧА"</t>
  </si>
  <si>
    <t>"ОБРАТКА"</t>
  </si>
  <si>
    <t>не применяемо</t>
  </si>
  <si>
    <t>Температура почвы</t>
  </si>
  <si>
    <t>Длина траншеи</t>
  </si>
  <si>
    <t>Время подачи</t>
  </si>
  <si>
    <t xml:space="preserve">Max. давление </t>
  </si>
  <si>
    <t>Потери давления</t>
  </si>
  <si>
    <t>при рабочей температуре</t>
  </si>
  <si>
    <t>ВЫБЕРИТЕ СИСТЕМУ:</t>
  </si>
  <si>
    <t>ВОДОСНАБЖЕНИЕ  →</t>
  </si>
  <si>
    <t>Обнотрубная система:</t>
  </si>
  <si>
    <t>ВВЕДИТЕ ДЛИНУ ТРАНШЕИ в [м]</t>
  </si>
  <si>
    <t>Двухтрубная система:</t>
  </si>
  <si>
    <t>м</t>
  </si>
  <si>
    <t>кВт</t>
  </si>
  <si>
    <t>lt/s</t>
  </si>
  <si>
    <t>ТЕМПЕРАТУРА В "ПОДАЧЕ" (Tп)</t>
  </si>
  <si>
    <t>ТЕМПЕРАТУРА В "ОБРАТКЕ" (То)</t>
  </si>
  <si>
    <t>ПОТЕРИ ДАВЛЕНИЯ ВО "ВНУТРЯНКЕ"</t>
  </si>
  <si>
    <t>λ почвы</t>
  </si>
  <si>
    <t>Номинал. давление</t>
  </si>
  <si>
    <t>ТЕМПЕРАТУРА [°C]</t>
  </si>
  <si>
    <t>РАСХОД [литров/сек]</t>
  </si>
  <si>
    <t>ПОТЕРИ ДАВЛЕНИЯ ВО "ВНУТРЯНКЕ" [bar]</t>
  </si>
  <si>
    <t>ДЛИНА ТРАНШЕИ [м]</t>
  </si>
  <si>
    <t>ТЕПЛОВАЯ НАГРУЗКА [кВт]</t>
  </si>
  <si>
    <t>ИСТОЧНИК (1)</t>
  </si>
  <si>
    <t>КОНЕЧНАЯ ТОЧКА (2)</t>
  </si>
  <si>
    <t>Глубина заложения</t>
  </si>
  <si>
    <t>Резерв давления</t>
  </si>
  <si>
    <t>ТЕМПЕРАТУРА В ПОДАЮЩЕМ ТРУБОПРОВОДЕ</t>
  </si>
  <si>
    <t>ТЕМПЕРАТУРА В ОБРАТНОМ ТРУБОПРОВОДЕ</t>
  </si>
  <si>
    <t>Только в трубах Flexalen</t>
  </si>
  <si>
    <t>РАЗНИЦА ТЕМПЕРАТУР В ТОЧКЕ2</t>
  </si>
  <si>
    <t>ДОСТАВЛЕННОЕ ТЕПЛО В ТОЧКЕ2</t>
  </si>
  <si>
    <t>Потери темп. в "подаче"</t>
  </si>
  <si>
    <t>Recouvrement</t>
  </si>
  <si>
    <t>FLEXALEN leidingen</t>
  </si>
  <si>
    <t>BIJ BEDR TEMP</t>
  </si>
  <si>
    <t>gronddekking</t>
  </si>
  <si>
    <t>v8.00</t>
  </si>
  <si>
    <t>Sprachen OK: en, ger, ru, bul, dutch, turkish, romanian</t>
  </si>
  <si>
    <t>rezerv basinc</t>
  </si>
  <si>
    <t>GIDIS SICAKLIGI</t>
  </si>
  <si>
    <t>DONUS SICAKLIGI</t>
  </si>
  <si>
    <t>Dolgu yuksekligi</t>
  </si>
  <si>
    <t>Sicaklik kaybi</t>
  </si>
  <si>
    <t>v8.01</t>
  </si>
  <si>
    <t>Sprachen - Übersetzungsfehler behoben; v [m/s] Tabelle angefügt; Druckstufe neu für 16-110 und 125-225; Instruction en - aktualisiert</t>
  </si>
  <si>
    <t>PIPESIZING A-B (B-A) for MICROSOFT EXCEL 2007 or higher. This Calculation is based on the Material Properties of "FLEXALEN 600 and FLEXALEN SL".</t>
  </si>
  <si>
    <t xml:space="preserve">This Software belongs to THERMAFLEX and must not be copied or transfered to another user without prior approval of Thermaflex. </t>
  </si>
  <si>
    <t xml:space="preserve">Please note that despite careful development and stringent tests no software can give a guarantee for total faultless results.  </t>
  </si>
  <si>
    <t>THERMAFLEX and Mr. Dresler cannot accept any liability for the results or problems with the data or computer.</t>
  </si>
  <si>
    <t>The compatibility of this Software has to be checked by the user prior to the installation.</t>
  </si>
  <si>
    <t>Please check every result to be safe!</t>
  </si>
  <si>
    <t>v8.10</t>
  </si>
  <si>
    <t>TF faktor angepasst von 1,03 auf 1,02 (nicht 1,011 wie beim großen, robusterer Wert)</t>
  </si>
  <si>
    <t>alle Parameter aktualisiert</t>
  </si>
  <si>
    <t>DI 1mm</t>
  </si>
  <si>
    <t>RN=</t>
  </si>
  <si>
    <t>Pmax=</t>
  </si>
  <si>
    <t>Kunststoff</t>
  </si>
  <si>
    <t>Materialkonstante für Rohrreibung</t>
  </si>
  <si>
    <t>KS-Druckkonstante A</t>
  </si>
  <si>
    <t xml:space="preserve">Multiplikator P-D </t>
  </si>
  <si>
    <t>Temperaturkonstante für dyn. Viskosität</t>
  </si>
  <si>
    <t>KS Druckkonstante B</t>
  </si>
  <si>
    <t>Begrenzung ab D</t>
  </si>
  <si>
    <t>Mediumdichte des Rohrinhaltes</t>
  </si>
  <si>
    <t>Bodentemperatur °C</t>
  </si>
  <si>
    <t>max Druck bar Begrenzung</t>
  </si>
  <si>
    <t>Pmax calc =</t>
  </si>
  <si>
    <t>Pmax calc limit=</t>
  </si>
  <si>
    <t>FLEXALEN - ISOLIERTE ROHRSYSTEME</t>
  </si>
  <si>
    <t>FLEXALEN - СИСТЕМА ОТ ПРЕДВАРИТЕЛНО ИЗОЛИРАНИ ТРЪБИ</t>
  </si>
  <si>
    <t>FLEXALEN VOORGEISOLEERD LEIDINGSYSTEEM</t>
  </si>
  <si>
    <t>FLEXALEN - SYSTEME TUBES PRE-ISOLES</t>
  </si>
  <si>
    <t>FLEXALEN-SISTEM CONDUCTE PREIZOLATE</t>
  </si>
  <si>
    <t>FLEXALEN - ÖNYALITIMLI BORU SİSTEMLERİ</t>
  </si>
  <si>
    <t>FLEXALEN - ПРЕДВАРИТЕЛЬНО ИЗОЛИРОВАННЫЕ ТРУБЫ</t>
  </si>
  <si>
    <t xml:space="preserve">DIMENSIONNEMENT TUBE FLEXALEN LIGNE SIMPLE OU DOUBLE POUR LIAISON ENTRE BATIMENTS </t>
  </si>
  <si>
    <t>FLEXALEN - PREINSULATED PIPE SYSTEMS</t>
  </si>
  <si>
    <t>FLEXALEN</t>
  </si>
  <si>
    <t>Alle Beschreibungen geändert auf Flexalen anstatt Flexalen 600</t>
  </si>
  <si>
    <t>CZ language added</t>
  </si>
  <si>
    <t>Czech</t>
  </si>
  <si>
    <t>VÝPOČET POTRUBÍ PRO TRUBNÍ VEDENÍ - SPOJENÍ DVOU BODŮJEDNOTRUBNÍM NEBO DVOUTRUBNÍM VEDENÍM</t>
  </si>
  <si>
    <t>FLEXALEN - PŘEDIZOLOVANÉ POTRUBNÍ SYSTÉMY</t>
  </si>
  <si>
    <t xml:space="preserve">VYVINUTO PRO ROZVODY VODY A SYSTÉMY DÁLKOVÉHO TOPENÍ </t>
  </si>
  <si>
    <t>FAKTOR JAKOSTI</t>
  </si>
  <si>
    <t>FAKTOR TEPLOTY</t>
  </si>
  <si>
    <t>PŘIZPŮSOBENÍ DIMENZE</t>
  </si>
  <si>
    <t>TEPLOTA NA PŘÍVOD. VĚTVI  (Tp )</t>
  </si>
  <si>
    <t>TEPLOTA NA VRATNÉ VĚTVI (Tv)</t>
  </si>
  <si>
    <t>TEPLOTNÍ SPÁD (Tp-Tv)</t>
  </si>
  <si>
    <t>DÉLKA TRASY</t>
  </si>
  <si>
    <t>VÝKON ZDROJE (kW)</t>
  </si>
  <si>
    <t>OBJEMOVÝ PRŮTOK</t>
  </si>
  <si>
    <t>CELKOVÁ DÉLKA POTRUBÍ</t>
  </si>
  <si>
    <t>DA (DIMENZE)</t>
  </si>
  <si>
    <t>RYCHLOST PROUDĚNÍ</t>
  </si>
  <si>
    <t>TLAK. ZTRÁTA NA PŘÍV. VĚTVI</t>
  </si>
  <si>
    <t>TLAK. ZTRÁTA NA VRAT.VĚTVI</t>
  </si>
  <si>
    <t>TLAKOVÁ ZTRÁTA CELKEM</t>
  </si>
  <si>
    <t>TEPLÁ VODA(Jednotrubní vedení)</t>
  </si>
  <si>
    <t>TOPENÍ/CHLAZENÍ(P/V)</t>
  </si>
  <si>
    <t>POUŽITELNÝ TEPELNÝ SPÁD</t>
  </si>
  <si>
    <t>POUŽITELNÉ ZATÍŽENÍ</t>
  </si>
  <si>
    <t>OBSAH SÍTĚ</t>
  </si>
  <si>
    <t>ZDROJ</t>
  </si>
  <si>
    <t xml:space="preserve">TEPLOTNÍ SPÁD </t>
  </si>
  <si>
    <t>ČERPADLO</t>
  </si>
  <si>
    <t>TLAK PŘÍDAVNÉHO ČERPADLA</t>
  </si>
  <si>
    <t>Teplota° C</t>
  </si>
  <si>
    <t>Tlaková ztráta bar</t>
  </si>
  <si>
    <t>Dimenze (DA)</t>
  </si>
  <si>
    <t>KONEČNÝ BOD</t>
  </si>
  <si>
    <t>PŘÍVODNÍ VĚTEV</t>
  </si>
  <si>
    <t>VRATNÁ VĚTEV</t>
  </si>
  <si>
    <t>nezadáno</t>
  </si>
  <si>
    <t>Teplota zeminy</t>
  </si>
  <si>
    <t>Výška krytí</t>
  </si>
  <si>
    <t>Lambda zeminy</t>
  </si>
  <si>
    <t>Délka trasy</t>
  </si>
  <si>
    <t>Prodleva - přívodní větev</t>
  </si>
  <si>
    <t>Tlaková řada</t>
  </si>
  <si>
    <t>Maximální tlak</t>
  </si>
  <si>
    <t>Tlaková ztráta</t>
  </si>
  <si>
    <t>Tlaková rezerva</t>
  </si>
  <si>
    <t>při 95°C</t>
  </si>
  <si>
    <t>při provozní teplotě</t>
  </si>
  <si>
    <t>TEPLÁ VODA  →</t>
  </si>
  <si>
    <t>TOPENÍ/CHLAZENÍ →</t>
  </si>
  <si>
    <t>Jednotrubní systém:</t>
  </si>
  <si>
    <t>TEPLOTA</t>
  </si>
  <si>
    <t>ZADEJTE DÉLKU TRASY</t>
  </si>
  <si>
    <t>MNOŽSTVÍ MEDIA</t>
  </si>
  <si>
    <t>PŘÍDAVNÝ TLAK ČERPADLA</t>
  </si>
  <si>
    <t>Dvoutrubní systém:</t>
  </si>
  <si>
    <t xml:space="preserve">TEPLOTA NA PŘÍVOD. VĚTVI  </t>
  </si>
  <si>
    <t xml:space="preserve">TEPLOTA NA VRATNÉ VĚTVI </t>
  </si>
  <si>
    <t>PŘENESENÝ VÝKON</t>
  </si>
  <si>
    <t>-----</t>
  </si>
  <si>
    <t>CZECH</t>
  </si>
  <si>
    <t>PROSÍM VYPLŇTE UŽITÍ:</t>
  </si>
  <si>
    <t>Pouze pro potr.FLEXALEN</t>
  </si>
  <si>
    <t>Teplotní ztráta - přívod.</t>
  </si>
  <si>
    <t>v8.11</t>
  </si>
  <si>
    <t>ITALIAN</t>
  </si>
  <si>
    <t>Dimensionamento Tubo per linee singole o doppie tra due punti distinti</t>
  </si>
  <si>
    <t>Flexalen 600 - Sistema di tubi preisolati</t>
  </si>
  <si>
    <t>Prodotto per distribuire acqua sanitaria e reti di teleriscaldamento</t>
  </si>
  <si>
    <t>Fattore Qualità</t>
  </si>
  <si>
    <t>Sistema di dimensionamento</t>
  </si>
  <si>
    <t>Lunghezza dello scavo</t>
  </si>
  <si>
    <t>Calore necessario in KW</t>
  </si>
  <si>
    <t>Portata</t>
  </si>
  <si>
    <t>Lunghezza del tubo</t>
  </si>
  <si>
    <t>DE(dimensione)</t>
  </si>
  <si>
    <t>Velocità del fluido</t>
  </si>
  <si>
    <t>Pressione di andata</t>
  </si>
  <si>
    <t>Pressione di ritorno</t>
  </si>
  <si>
    <t>Pressione totale</t>
  </si>
  <si>
    <t>Linea di adduzzione(singola)</t>
  </si>
  <si>
    <t>Riscaldamento/Condizionamento(...)</t>
  </si>
  <si>
    <t>Carico utile</t>
  </si>
  <si>
    <t>Volume netto</t>
  </si>
  <si>
    <t>Sorgente</t>
  </si>
  <si>
    <t>No</t>
  </si>
  <si>
    <t>Pompa</t>
  </si>
  <si>
    <t>Perdita di pressione in bar</t>
  </si>
  <si>
    <t>Diamentro</t>
  </si>
  <si>
    <t>Fine linea</t>
  </si>
  <si>
    <t>Ritorno</t>
  </si>
  <si>
    <t>Non applicabile</t>
  </si>
  <si>
    <t>Copertura</t>
  </si>
  <si>
    <t>Lambda del terreno</t>
  </si>
  <si>
    <t>Tempo di riempimento</t>
  </si>
  <si>
    <t>Pressione d'esercizio</t>
  </si>
  <si>
    <t>Pressione massima</t>
  </si>
  <si>
    <t>Perdita di carico</t>
  </si>
  <si>
    <t>Pressione residua</t>
  </si>
  <si>
    <t>a 95°C</t>
  </si>
  <si>
    <t>Prego scegliere l'applicazione</t>
  </si>
  <si>
    <t>Linea di alimentazione</t>
  </si>
  <si>
    <t>Sistema di tubazioni singole</t>
  </si>
  <si>
    <t>Sistema di tubazioni doppie</t>
  </si>
  <si>
    <t>Perdita di calore</t>
  </si>
  <si>
    <t>Italian &amp; hungarian language added</t>
  </si>
  <si>
    <t>v8.12</t>
  </si>
  <si>
    <t>HUNGARIAN</t>
  </si>
  <si>
    <t>Dk (külső átmérő)</t>
  </si>
  <si>
    <r>
      <t>Cső méretezése - két pontot összekötő egy/duplavezetékes cs</t>
    </r>
    <r>
      <rPr>
        <sz val="10"/>
        <rFont val="Calibri"/>
        <family val="2"/>
      </rPr>
      <t>ő</t>
    </r>
    <r>
      <rPr>
        <sz val="10"/>
        <rFont val="Arial"/>
        <family val="2"/>
      </rPr>
      <t>rendszer</t>
    </r>
  </si>
  <si>
    <r>
      <t>Flexalen - el</t>
    </r>
    <r>
      <rPr>
        <sz val="10"/>
        <rFont val="Calibri"/>
        <family val="2"/>
      </rPr>
      <t>ő</t>
    </r>
    <r>
      <rPr>
        <sz val="10"/>
        <rFont val="Arial"/>
        <family val="2"/>
      </rPr>
      <t>szigetelt cs</t>
    </r>
    <r>
      <rPr>
        <sz val="10"/>
        <rFont val="Calibri"/>
        <family val="2"/>
      </rPr>
      <t>ő</t>
    </r>
    <r>
      <rPr>
        <sz val="10"/>
        <rFont val="Arial"/>
        <family val="2"/>
      </rPr>
      <t>rendszer</t>
    </r>
  </si>
  <si>
    <r>
      <t>Számítások használati és F</t>
    </r>
    <r>
      <rPr>
        <sz val="10"/>
        <rFont val="Calibri"/>
        <family val="2"/>
      </rPr>
      <t>ű</t>
    </r>
    <r>
      <rPr>
        <sz val="10"/>
        <rFont val="Arial"/>
        <family val="2"/>
      </rPr>
      <t>t</t>
    </r>
    <r>
      <rPr>
        <sz val="10"/>
        <rFont val="Calibri"/>
        <family val="2"/>
      </rPr>
      <t>ő</t>
    </r>
    <r>
      <rPr>
        <sz val="10"/>
        <rFont val="Arial"/>
        <family val="2"/>
      </rPr>
      <t>vís rendszerek esetében érvényesek</t>
    </r>
  </si>
  <si>
    <t>Minőségi tényező</t>
  </si>
  <si>
    <t>Hőmérsékleti tényező</t>
  </si>
  <si>
    <t>Méretezés</t>
  </si>
  <si>
    <t>Előremenő hőmérséklet</t>
  </si>
  <si>
    <t>Visszatérő hőmérséklet</t>
  </si>
  <si>
    <t>Nyomvonal hossza</t>
  </si>
  <si>
    <t>Forrásoldali teljesítmény kW</t>
  </si>
  <si>
    <t>Térfogatáram</t>
  </si>
  <si>
    <t>Vezeték hossza</t>
  </si>
  <si>
    <t>Áramlási sebesség</t>
  </si>
  <si>
    <t>Nyomásveszteség előre</t>
  </si>
  <si>
    <t>Nyomásveszteség vissza</t>
  </si>
  <si>
    <t>Nyomásveszteség összesen</t>
  </si>
  <si>
    <t>Ellátó hálózat (egyvezetékes csőrendszer)</t>
  </si>
  <si>
    <t>Fűtés / Hűtés</t>
  </si>
  <si>
    <t>Felshasználható terhelés</t>
  </si>
  <si>
    <t>Hálozat volumene</t>
  </si>
  <si>
    <t>Forrás teljesítmeny kW</t>
  </si>
  <si>
    <t>Hőmérsékletkülönbség</t>
  </si>
  <si>
    <t>nem, nincs</t>
  </si>
  <si>
    <t>Szivattyú</t>
  </si>
  <si>
    <t>A szivattú nyomástartaléka</t>
  </si>
  <si>
    <t>Hőmérséklet °C</t>
  </si>
  <si>
    <t>Nyomásveszteség bar</t>
  </si>
  <si>
    <t>Végpont</t>
  </si>
  <si>
    <t>Előre</t>
  </si>
  <si>
    <t>Vissza</t>
  </si>
  <si>
    <t>Talajhőmérséklet</t>
  </si>
  <si>
    <t>Átfedés</t>
  </si>
  <si>
    <r>
      <t>Talaj h</t>
    </r>
    <r>
      <rPr>
        <sz val="10"/>
        <rFont val="Calibri"/>
        <family val="2"/>
      </rPr>
      <t>ő</t>
    </r>
    <r>
      <rPr>
        <sz val="10"/>
        <rFont val="Arial"/>
        <family val="2"/>
      </rPr>
      <t>vezetési tényez</t>
    </r>
    <r>
      <rPr>
        <sz val="10"/>
        <rFont val="Calibri"/>
        <family val="2"/>
      </rPr>
      <t>ő</t>
    </r>
    <r>
      <rPr>
        <sz val="10"/>
        <rFont val="Arial"/>
        <family val="2"/>
      </rPr>
      <t xml:space="preserve"> Lambda</t>
    </r>
  </si>
  <si>
    <r>
      <t>Hömérsékletcsökkenés el</t>
    </r>
    <r>
      <rPr>
        <sz val="10"/>
        <rFont val="Calibri"/>
        <family val="2"/>
      </rPr>
      <t>ő</t>
    </r>
    <r>
      <rPr>
        <sz val="10"/>
        <rFont val="Arial"/>
        <family val="2"/>
      </rPr>
      <t>re</t>
    </r>
  </si>
  <si>
    <r>
      <t>Tartózkodási id</t>
    </r>
    <r>
      <rPr>
        <sz val="10"/>
        <rFont val="Calibri"/>
        <family val="2"/>
      </rPr>
      <t>ő</t>
    </r>
    <r>
      <rPr>
        <sz val="10"/>
        <rFont val="Arial"/>
        <family val="2"/>
      </rPr>
      <t xml:space="preserve"> el</t>
    </r>
    <r>
      <rPr>
        <sz val="10"/>
        <rFont val="Calibri"/>
        <family val="2"/>
      </rPr>
      <t>ő</t>
    </r>
    <r>
      <rPr>
        <sz val="10"/>
        <rFont val="Arial"/>
        <family val="2"/>
      </rPr>
      <t>re</t>
    </r>
  </si>
  <si>
    <t>Nyomásgörbe (vezeték jelleggörbe)</t>
  </si>
  <si>
    <t>Maximális nyomás</t>
  </si>
  <si>
    <t>Nyomásveszteség</t>
  </si>
  <si>
    <t>Nyomástartalék</t>
  </si>
  <si>
    <t>95°C - Mellett</t>
  </si>
  <si>
    <r>
      <t>Felhasználási h</t>
    </r>
    <r>
      <rPr>
        <sz val="10"/>
        <rFont val="Calibri"/>
        <family val="2"/>
      </rPr>
      <t>ő</t>
    </r>
    <r>
      <rPr>
        <sz val="10"/>
        <rFont val="Arial"/>
        <family val="2"/>
      </rPr>
      <t>mérséklet mellett</t>
    </r>
  </si>
  <si>
    <r>
      <t>Flexalen cs</t>
    </r>
    <r>
      <rPr>
        <sz val="10"/>
        <rFont val="Calibri"/>
        <family val="2"/>
      </rPr>
      <t>ő</t>
    </r>
    <r>
      <rPr>
        <sz val="10"/>
        <rFont val="Arial"/>
        <family val="2"/>
      </rPr>
      <t>ben</t>
    </r>
  </si>
  <si>
    <t>Felhasználási hőmérséklet mellett</t>
  </si>
  <si>
    <t>Felhasználási terület kiválasztása</t>
  </si>
  <si>
    <t>Ellátó hálózat</t>
  </si>
  <si>
    <r>
      <t>Egyvezetékes cs</t>
    </r>
    <r>
      <rPr>
        <sz val="10"/>
        <rFont val="Calibri"/>
        <family val="2"/>
      </rPr>
      <t>ő</t>
    </r>
    <r>
      <rPr>
        <sz val="10"/>
        <rFont val="Arial"/>
        <family val="2"/>
      </rPr>
      <t>rendszer</t>
    </r>
  </si>
  <si>
    <r>
      <t>H</t>
    </r>
    <r>
      <rPr>
        <sz val="10"/>
        <rFont val="Calibri"/>
        <family val="2"/>
      </rPr>
      <t>ő</t>
    </r>
    <r>
      <rPr>
        <sz val="10"/>
        <rFont val="Arial"/>
        <family val="2"/>
      </rPr>
      <t>mérséklet</t>
    </r>
  </si>
  <si>
    <t>Vezeték hossza (Kitölti a nyomvonal hosszat)</t>
  </si>
  <si>
    <t>(Folyadék mennyiség) Közegmennyiség</t>
  </si>
  <si>
    <t>A Csatlakazó rendszer nyomásesése</t>
  </si>
  <si>
    <t>Többvezetékes csőrendszer</t>
  </si>
  <si>
    <t>Hőmérséklet előre</t>
  </si>
  <si>
    <t>Hőmérséklet vissza</t>
  </si>
  <si>
    <t>Nyomvonal hossz</t>
  </si>
  <si>
    <t>Energia mennyiség kazánházból</t>
  </si>
  <si>
    <t>Szivattyú előnyomása</t>
  </si>
  <si>
    <t>corrections translation hungarian</t>
  </si>
  <si>
    <t>Felhasználható hőmérséklet külömbség</t>
  </si>
  <si>
    <t>Nem meghatározott</t>
  </si>
  <si>
    <t>correction translation italien</t>
  </si>
  <si>
    <t>Press. di riserva per la pompa</t>
  </si>
  <si>
    <t>Press. aggiuntiva per la pompa</t>
  </si>
  <si>
    <t>Fattore Temp.</t>
  </si>
  <si>
    <t>Temp. di andata(Tf)</t>
  </si>
  <si>
    <t>Temp. di ritorno(Tr)</t>
  </si>
  <si>
    <t>Differenza di Temp.(Tf-Tr)</t>
  </si>
  <si>
    <t>Differenza di Temp. utile</t>
  </si>
  <si>
    <t>Differenza di Temp.</t>
  </si>
  <si>
    <t>Temp. in °C</t>
  </si>
  <si>
    <t>Temp. del terreno</t>
  </si>
  <si>
    <t>Temp. di rugiada</t>
  </si>
  <si>
    <t>alla Temp. di esercizio</t>
  </si>
  <si>
    <t>Temp.</t>
  </si>
  <si>
    <t>Temp. del fluido</t>
  </si>
  <si>
    <t>Temp. del fluido di ritorno</t>
  </si>
  <si>
    <t>delle tubazioni Flexalen</t>
  </si>
  <si>
    <t>CROATIAN</t>
  </si>
  <si>
    <t>DIMENZIONIRANJE CJEVOVODA - SPOJ 2 TOČKE SUSTAVA ( A-B ) - ZA JEDNOCJEVNE ILI DVOCJEVNE SUSTAVE</t>
  </si>
  <si>
    <t>FLEXALEN 600 - PREDIZOLIRANI CIJEVNI SUSTAV</t>
  </si>
  <si>
    <t>IZRAČUN VRIJEDI ZA SANITARNU I NORMALNO KONDICIONIRANU VODU U TOPLOVODNIM SUSTAVIMA GRIJANJA</t>
  </si>
  <si>
    <t>KVALITATIVNI FAKTOR</t>
  </si>
  <si>
    <t>TEMPERATURNI FAKTOR</t>
  </si>
  <si>
    <t>DIMENZIONIRANJE</t>
  </si>
  <si>
    <t>DUŽINA TRASE</t>
  </si>
  <si>
    <t xml:space="preserve">SNAGA IZVORA kW </t>
  </si>
  <si>
    <t>VOLUMETRIČKA KOLIČINA MEDIJA</t>
  </si>
  <si>
    <t>DUŽINA CIJEVI</t>
  </si>
  <si>
    <t>DA ( DIMENZIJA )</t>
  </si>
  <si>
    <t>BRZINA STRUJANJA</t>
  </si>
  <si>
    <t>PAD TLAKA U POLAZU</t>
  </si>
  <si>
    <t>PAD TLAKA U POVRATU</t>
  </si>
  <si>
    <t>UKUPAN PAD TLAKA</t>
  </si>
  <si>
    <t>ISKORISTIVA SNAGA</t>
  </si>
  <si>
    <t>VOLUMEN CJEVOVODA</t>
  </si>
  <si>
    <t>IZVOR</t>
  </si>
  <si>
    <t>TEMPERATURNA RAZLIKA</t>
  </si>
  <si>
    <t>BEZ</t>
  </si>
  <si>
    <t>PUMPA</t>
  </si>
  <si>
    <t>TLAČNA REZERVA PUMPE</t>
  </si>
  <si>
    <t>Pad tlaka bar</t>
  </si>
  <si>
    <t>Završna točka</t>
  </si>
  <si>
    <t>POLAZ</t>
  </si>
  <si>
    <t>POVRAT</t>
  </si>
  <si>
    <t>nije primjenjivo</t>
  </si>
  <si>
    <t>Temperatura tla</t>
  </si>
  <si>
    <t>Pokrov</t>
  </si>
  <si>
    <t>Lambda tla</t>
  </si>
  <si>
    <t>Pad temperature u polazu</t>
  </si>
  <si>
    <t>Dužina trase</t>
  </si>
  <si>
    <t>Vrijeme protoka u polazu</t>
  </si>
  <si>
    <t>Tlačni red</t>
  </si>
  <si>
    <t>Maksimalni tlak</t>
  </si>
  <si>
    <t>Pad tlaka</t>
  </si>
  <si>
    <t>Tlačna rezerva</t>
  </si>
  <si>
    <t>pri 95° C</t>
  </si>
  <si>
    <t>PRI RADNOJ TEMPERATURI</t>
  </si>
  <si>
    <t xml:space="preserve">samo za FLEXALEN cijevi </t>
  </si>
  <si>
    <t>pri radnoj temperaturi</t>
  </si>
  <si>
    <t>MOLIMO ODABERITE NAMJENU:</t>
  </si>
  <si>
    <t>SANITARNA VODA →</t>
  </si>
  <si>
    <t>GRIJANJE  /  HLAĐENJE →</t>
  </si>
  <si>
    <t>Jednocjevni sustav:</t>
  </si>
  <si>
    <t>U DUŽINI TRASE</t>
  </si>
  <si>
    <t>KOLIČINA MEDIJA</t>
  </si>
  <si>
    <t>PRETLAK PUMPE</t>
  </si>
  <si>
    <t>Dvocjevni sustav:</t>
  </si>
  <si>
    <t>TEMPERATURA POLAZA</t>
  </si>
  <si>
    <t>TEMPERATURA POVRATA</t>
  </si>
  <si>
    <t>SNAGA PREUZETA OD KOTLOVNICE</t>
  </si>
  <si>
    <t>croatian language added</t>
  </si>
  <si>
    <t>SANITARNA VODA</t>
  </si>
  <si>
    <t>GRIJANJE/HLAĐENJE</t>
  </si>
  <si>
    <t>TEMP. POL. (Tpolaza)</t>
  </si>
  <si>
    <t>TEMP. POV. (T povrata)</t>
  </si>
  <si>
    <t>Δ T (Tpolaza - Tpovrata)</t>
  </si>
  <si>
    <t>ISKORISTIVA TEMP. RAZLIKA</t>
  </si>
  <si>
    <t>ϑ</t>
  </si>
  <si>
    <t>Temperature medium</t>
  </si>
  <si>
    <t>kg</t>
  </si>
  <si>
    <t xml:space="preserve">water: 1l = 1kg </t>
  </si>
  <si>
    <t>t</t>
  </si>
  <si>
    <t>dwell time</t>
  </si>
  <si>
    <t>s</t>
  </si>
  <si>
    <t>W</t>
  </si>
  <si>
    <t>c</t>
  </si>
  <si>
    <t>specific heat capacity (water)</t>
  </si>
  <si>
    <t>J / kg.K</t>
  </si>
  <si>
    <t>Engergy content</t>
  </si>
  <si>
    <t>J</t>
  </si>
  <si>
    <t xml:space="preserve">E2 </t>
  </si>
  <si>
    <t>Engergy loss due heat loss</t>
  </si>
  <si>
    <t>ΔT</t>
  </si>
  <si>
    <t>Temperature drop</t>
  </si>
  <si>
    <t>K</t>
  </si>
  <si>
    <t>D</t>
  </si>
  <si>
    <t>v9.00</t>
  </si>
  <si>
    <t>f=ϑ.x+d</t>
  </si>
  <si>
    <t>x</t>
  </si>
  <si>
    <t>d</t>
  </si>
  <si>
    <t>VS-RS50A25</t>
  </si>
  <si>
    <t>VS-RS63A32</t>
  </si>
  <si>
    <t>VS-RS75A40</t>
  </si>
  <si>
    <t>VS-RS90A50</t>
  </si>
  <si>
    <t>VS-RS125A63</t>
  </si>
  <si>
    <t>VS-RS125A75</t>
  </si>
  <si>
    <t>VS-RS160A90</t>
  </si>
  <si>
    <t>VS-R200A125</t>
  </si>
  <si>
    <t>VS-RH40A16</t>
  </si>
  <si>
    <t>VS-RH40A20</t>
  </si>
  <si>
    <t>VS-RH50A25</t>
  </si>
  <si>
    <t>VS-RH63A32</t>
  </si>
  <si>
    <t>VS-RH75A40</t>
  </si>
  <si>
    <t>VS-RH125A50</t>
  </si>
  <si>
    <t>VS-RH125A63</t>
  </si>
  <si>
    <t>VS-RH125A75</t>
  </si>
  <si>
    <t>VS-RH160A90</t>
  </si>
  <si>
    <t>VS-RH75A16</t>
  </si>
  <si>
    <t>VS-RH90A20</t>
  </si>
  <si>
    <t>VS-RH90A25</t>
  </si>
  <si>
    <t>VS-RH125A32</t>
  </si>
  <si>
    <t>VS-RH125A40</t>
  </si>
  <si>
    <t>VS-RH160A50</t>
  </si>
  <si>
    <t>VS-RH160A63</t>
  </si>
  <si>
    <t>VS-RH160A75</t>
  </si>
  <si>
    <t>VS-RS90A25</t>
  </si>
  <si>
    <t>VS-RS63A2/16</t>
  </si>
  <si>
    <t>VS-RS125A32</t>
  </si>
  <si>
    <t>VS-RS75A2/20</t>
  </si>
  <si>
    <t>VS-RS125A40</t>
  </si>
  <si>
    <t>VS-RS125A2/25</t>
  </si>
  <si>
    <t>VS-RS160A50</t>
  </si>
  <si>
    <t>VS-RS125A2/32</t>
  </si>
  <si>
    <t>VS-RS160A63</t>
  </si>
  <si>
    <t>VS-RS160A2/40</t>
  </si>
  <si>
    <t>VS-RS160A75</t>
  </si>
  <si>
    <t>VS-RS160A2/50</t>
  </si>
  <si>
    <t>VS-RS200A2/63</t>
  </si>
  <si>
    <t>VS-RH63A2/16</t>
  </si>
  <si>
    <t>VS-RH75A2/20</t>
  </si>
  <si>
    <t>VS-RH125A2/25</t>
  </si>
  <si>
    <t>VS-RH125A2/32</t>
  </si>
  <si>
    <t>VS-RH160A2/40</t>
  </si>
  <si>
    <t>VS-RH160A2/50</t>
  </si>
  <si>
    <t>VS-RH200A2/63</t>
  </si>
  <si>
    <t>VS-RH90A2/16</t>
  </si>
  <si>
    <t>VS-RH125A2/20</t>
  </si>
  <si>
    <t>VS-RH160A2/32</t>
  </si>
  <si>
    <t>O.D. [mm]</t>
  </si>
  <si>
    <t>[W/m]</t>
  </si>
  <si>
    <t>TF code</t>
  </si>
  <si>
    <t>TF Range</t>
  </si>
  <si>
    <t>Standard</t>
  </si>
  <si>
    <t>DHC</t>
  </si>
  <si>
    <t>PIPE</t>
  </si>
  <si>
    <t xml:space="preserve">O.D. </t>
  </si>
  <si>
    <t>Diameter pipe</t>
  </si>
  <si>
    <t>mm</t>
  </si>
  <si>
    <t>mass (medium) / m</t>
  </si>
  <si>
    <t>Power loss (Heat loss) / m</t>
  </si>
  <si>
    <t>Heat loss total</t>
  </si>
  <si>
    <t xml:space="preserve">mass total </t>
  </si>
  <si>
    <r>
      <t>m</t>
    </r>
    <r>
      <rPr>
        <b/>
        <sz val="8"/>
        <color theme="1"/>
        <rFont val="Calibri"/>
        <family val="2"/>
      </rPr>
      <t>m</t>
    </r>
  </si>
  <si>
    <r>
      <t>m</t>
    </r>
    <r>
      <rPr>
        <b/>
        <sz val="8"/>
        <color theme="1"/>
        <rFont val="Calibri"/>
        <family val="2"/>
      </rPr>
      <t>tot</t>
    </r>
  </si>
  <si>
    <r>
      <t>P</t>
    </r>
    <r>
      <rPr>
        <b/>
        <sz val="8"/>
        <rFont val="Arial"/>
        <family val="2"/>
      </rPr>
      <t>m</t>
    </r>
  </si>
  <si>
    <r>
      <t>P</t>
    </r>
    <r>
      <rPr>
        <b/>
        <sz val="8"/>
        <rFont val="Arial"/>
        <family val="2"/>
      </rPr>
      <t>tot</t>
    </r>
  </si>
  <si>
    <r>
      <t>E</t>
    </r>
    <r>
      <rPr>
        <b/>
        <sz val="8"/>
        <color theme="1"/>
        <rFont val="Calibri"/>
        <family val="2"/>
        <scheme val="minor"/>
      </rPr>
      <t>1</t>
    </r>
  </si>
  <si>
    <t>l</t>
  </si>
  <si>
    <t>Total volume:</t>
  </si>
  <si>
    <t>Temperature difference:</t>
  </si>
  <si>
    <t>Volumetric flow:</t>
  </si>
  <si>
    <t>Supply line / Heating, Cooling</t>
  </si>
  <si>
    <t>SP</t>
  </si>
  <si>
    <t>Type</t>
  </si>
  <si>
    <t>Product choosen</t>
  </si>
  <si>
    <t>(E or D)</t>
  </si>
  <si>
    <t>Row Labels</t>
  </si>
  <si>
    <t>E</t>
  </si>
  <si>
    <t>help</t>
  </si>
  <si>
    <t>Product</t>
  </si>
  <si>
    <t>Heat loss [W/m]</t>
  </si>
  <si>
    <t>Heat loss total [W]</t>
  </si>
  <si>
    <t>Trench length [m]</t>
  </si>
  <si>
    <t>SELECT A FLEXALEN PRODUCT</t>
  </si>
  <si>
    <t>(Tf)</t>
  </si>
  <si>
    <t>Choose product</t>
  </si>
  <si>
    <t>FLEXALEN PRODUKT WÄHLEN</t>
  </si>
  <si>
    <t>Produkt wählen</t>
  </si>
  <si>
    <t>Temperature drop calc completely new, Heat losses new, new spread sheet "Parameter_HL"</t>
  </si>
  <si>
    <t xml:space="preserve">  COPYRIGHT©: 1996-2011 Thermaflex &amp; Hans Dresler</t>
  </si>
  <si>
    <t xml:space="preserve">COPYRIGHT©: 1999-2011 Thermaflex &amp; Hans Dresler; PIPESIZING A-B(-B-A) for MICROSOFT EXCEL 2007 or higher. </t>
  </si>
  <si>
    <t>If you face any problem please contact : m.thuernbeck@thermaflex.com</t>
  </si>
  <si>
    <t>PRODUCT</t>
  </si>
  <si>
    <t>W/m</t>
  </si>
  <si>
    <t>ВЫБЕРИТЕ ТИП ТРУБЫ FLEXALEN</t>
  </si>
  <si>
    <t>Выберите тип трубы</t>
  </si>
  <si>
    <t>ТЕПЛОВЫЕ ПОТЕРИ С 1 МЕТРА ТРАССЫ</t>
  </si>
  <si>
    <r>
      <rPr>
        <sz val="8"/>
        <rFont val="Calibri"/>
        <family val="2"/>
      </rPr>
      <t>©</t>
    </r>
    <r>
      <rPr>
        <sz val="8"/>
        <rFont val="Calibri"/>
        <family val="2"/>
        <scheme val="minor"/>
      </rPr>
      <t xml:space="preserve"> 1999-2011 DRESLER &amp; THERMAFLEX / Unautorized passing on of the software is forbidden! </t>
    </r>
  </si>
  <si>
    <t>HEAT LOSS TOTAL</t>
  </si>
  <si>
    <t>ТЕПЛОВЫЕ ПОТЕРИ</t>
  </si>
  <si>
    <t>WÄRMEVERLUST PRO TRASSENMETER</t>
  </si>
  <si>
    <t>WÄRMEABSTRAHLUNG NETZ</t>
  </si>
  <si>
    <t>Quantity</t>
  </si>
  <si>
    <t>HEAT LOSS PER m' TRENCH LENGTH</t>
  </si>
  <si>
    <t>v9.01</t>
  </si>
  <si>
    <t>KIES EEN FLEXALEN PRODUKT</t>
  </si>
  <si>
    <t>WARMTEVERLIES PER METER SLEUF</t>
  </si>
  <si>
    <t>Kies produkt</t>
  </si>
  <si>
    <t>TOTAAL WARMTEVERLIES</t>
  </si>
  <si>
    <t>ADDITIONELE DRUK VOOR DE POMP</t>
  </si>
  <si>
    <t>VUL DE LENGTE VAN HET TRACEE IN</t>
  </si>
  <si>
    <t>VUL HET TE TRANSPORTEREN VERMOGEN IN</t>
  </si>
  <si>
    <t>HOEVEELHEID VLOEISTOF</t>
  </si>
  <si>
    <t>bij bedrijfstemperatuur</t>
  </si>
  <si>
    <t>SELECTEER TOEPASSING:</t>
  </si>
  <si>
    <t>Maximum druk</t>
  </si>
  <si>
    <t>Bodem temperatuur</t>
  </si>
  <si>
    <t>Lambda bodem</t>
  </si>
  <si>
    <t>Buitendiameter</t>
  </si>
  <si>
    <t>EINDPUNT</t>
  </si>
  <si>
    <t>AANVOERLEIDING</t>
  </si>
  <si>
    <t>OVER TE BRENGEN VERMOGEN kW</t>
  </si>
  <si>
    <t>BUISAFMETING VOOR ENKEL OF DUBBEL LEIDINGSYSTEEM VAN A NAAR B</t>
  </si>
  <si>
    <t>KWALITEITS FACTOR</t>
  </si>
  <si>
    <t>POLISH</t>
  </si>
  <si>
    <t>Flexalen - system preizolowanych rur</t>
  </si>
  <si>
    <t>Współczynnik jakości</t>
  </si>
  <si>
    <t>Współczynnik temperatury</t>
  </si>
  <si>
    <t>Temperatura zasilania Tz</t>
  </si>
  <si>
    <t>Temperatura powrotu Tp</t>
  </si>
  <si>
    <t>Różnica temperatur (Tz-Tp)</t>
  </si>
  <si>
    <t>Długość wykopu</t>
  </si>
  <si>
    <t>Obciążenie cieplne kW</t>
  </si>
  <si>
    <t>Natężenie przepływu</t>
  </si>
  <si>
    <t>Długość rury</t>
  </si>
  <si>
    <t>Prędkość przepływu</t>
  </si>
  <si>
    <t>Spadek ciśnienia na zasilaniu</t>
  </si>
  <si>
    <t>Spadek ciśnienia na powrocie</t>
  </si>
  <si>
    <t>Całkowity spadek ciśnienia</t>
  </si>
  <si>
    <t>Przewód zasilający ( pojedyncza rura)</t>
  </si>
  <si>
    <t>Pojemność sieci</t>
  </si>
  <si>
    <t>Różnica temperatury</t>
  </si>
  <si>
    <t>Rezerwowe ciśnienie pompy</t>
  </si>
  <si>
    <t>Strata ciśnienia, bar</t>
  </si>
  <si>
    <t>Zasilanie</t>
  </si>
  <si>
    <t>Powrót</t>
  </si>
  <si>
    <t>Nie odpowiedni</t>
  </si>
  <si>
    <t>Temperatura gruntu</t>
  </si>
  <si>
    <t>Czas przepływu</t>
  </si>
  <si>
    <t>Spadek ciśnienia</t>
  </si>
  <si>
    <t>Rezerwa ciśnienia</t>
  </si>
  <si>
    <t>przy 95 °C</t>
  </si>
  <si>
    <t>Proszę wybrać zastosowanie</t>
  </si>
  <si>
    <t>System pojedynczych rur</t>
  </si>
  <si>
    <t>Temperatura</t>
  </si>
  <si>
    <t>Wypełnienie długość wykopu</t>
  </si>
  <si>
    <t>Dodatkowe ciśnienie pompy</t>
  </si>
  <si>
    <t>System podwójnych rur</t>
  </si>
  <si>
    <t xml:space="preserve">Temperatura zasilania </t>
  </si>
  <si>
    <t xml:space="preserve">Temperatura powrotu </t>
  </si>
  <si>
    <t xml:space="preserve">Obciążenie cieplne </t>
  </si>
  <si>
    <t>Wybierz produkt Flexalen</t>
  </si>
  <si>
    <t xml:space="preserve">Wybierz produkt </t>
  </si>
  <si>
    <t>Całkowita strata ciepła</t>
  </si>
  <si>
    <t>FLEXALEN Product</t>
  </si>
  <si>
    <t>FLEXALEN Produkt</t>
  </si>
  <si>
    <t>Flexalen produktu</t>
  </si>
  <si>
    <r>
      <t>FLEXALEN</t>
    </r>
    <r>
      <rPr>
        <sz val="10"/>
        <rFont val="Arial"/>
        <family val="2"/>
      </rPr>
      <t xml:space="preserve"> продукт</t>
    </r>
  </si>
  <si>
    <t>Choisir un FLEXALEN produit</t>
  </si>
  <si>
    <t>update languages, new polish language, some bug fixes</t>
  </si>
  <si>
    <t>Menge</t>
  </si>
  <si>
    <t>Ilość</t>
  </si>
  <si>
    <t>количество</t>
  </si>
  <si>
    <t>Aantal</t>
  </si>
  <si>
    <t>v9.02</t>
  </si>
  <si>
    <t>correct polish language, bug fix 75mm product choosing</t>
  </si>
  <si>
    <t>Program doboru średnic dla rur pojedyńczych i podwójnych FLEXALEN pomiędzy źródłem ciepła i odbiorcą</t>
  </si>
  <si>
    <t>Przeznaczony do dystrybucji ciepłej wody użytkowej i uzdatnionej wody grzewczej</t>
  </si>
  <si>
    <t>Współczynnik doboru średnic</t>
  </si>
  <si>
    <t>Średnica rury Dz</t>
  </si>
  <si>
    <t>Rura podwójna ( zasilanie - powrót )</t>
  </si>
  <si>
    <t>Obliczeniowa różnica temperatur</t>
  </si>
  <si>
    <t>Obliczeniowe obciążenie cieplne</t>
  </si>
  <si>
    <t>Źródło ciepła</t>
  </si>
  <si>
    <t>---------</t>
  </si>
  <si>
    <t>Średnica Dz</t>
  </si>
  <si>
    <t>Odbiorca</t>
  </si>
  <si>
    <t>Głębokość wykopu</t>
  </si>
  <si>
    <t>Lambda gruntu</t>
  </si>
  <si>
    <t>Spadek temperatury na zasilaniu</t>
  </si>
  <si>
    <t>Ciśnienie odniesienia</t>
  </si>
  <si>
    <t>Max. ciśnienie</t>
  </si>
  <si>
    <t>Przy temperaturze roboczej</t>
  </si>
  <si>
    <t>Tylko dla rur Flexalen</t>
  </si>
  <si>
    <t>Rura pojedyncza →</t>
  </si>
  <si>
    <t>Rura podwójna →</t>
  </si>
  <si>
    <t>Strata ciepła na metr długości rury w wykopie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</si>
</sst>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0.0"/>
    <numFmt numFmtId="165" formatCode="0.00\ &quot;m/sec&quot;"/>
    <numFmt numFmtId="166" formatCode="0\ &quot;mm&quot;"/>
    <numFmt numFmtId="167" formatCode="0&quot;°C&quot;"/>
    <numFmt numFmtId="168" formatCode="0\ \K"/>
    <numFmt numFmtId="169" formatCode="0\ &quot;m&quot;"/>
    <numFmt numFmtId="170" formatCode="0\ &quot;kW&quot;"/>
    <numFmt numFmtId="171" formatCode="0.00\ &quot;l/sec&quot;"/>
    <numFmt numFmtId="172" formatCode="0.00\ \b\a\r"/>
    <numFmt numFmtId="173" formatCode="0.0\ \b\a\r"/>
    <numFmt numFmtId="174" formatCode="0.00\ &quot;m3/h&quot;"/>
    <numFmt numFmtId="175" formatCode="0\ &quot;sec&quot;"/>
    <numFmt numFmtId="176" formatCode="#,##0.0\ \b\a\r;[Red]\-#,##0.0\ \b\a\r"/>
    <numFmt numFmtId="177" formatCode="0.0\ \°\C"/>
    <numFmt numFmtId="178" formatCode="0.0\ \K"/>
    <numFmt numFmtId="179" formatCode="0.0\ &quot;kW&quot;"/>
    <numFmt numFmtId="180" formatCode="0.00\ &quot;W/mK&quot;"/>
    <numFmt numFmtId="181" formatCode="0\ 000\ \P\a"/>
    <numFmt numFmtId="182" formatCode="0.00\ &quot;l&quot;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2"/>
      <color indexed="9"/>
      <name val="Arial"/>
      <family val="2"/>
    </font>
    <font>
      <sz val="18"/>
      <color indexed="9"/>
      <name val="Arial"/>
      <family val="2"/>
    </font>
    <font>
      <b/>
      <sz val="8"/>
      <name val="Arial"/>
      <family val="2"/>
    </font>
    <font>
      <sz val="20"/>
      <name val="Arial"/>
      <family val="2"/>
    </font>
    <font>
      <sz val="12"/>
      <color indexed="8"/>
      <name val="Arial"/>
      <family val="2"/>
    </font>
    <font>
      <sz val="18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8"/>
      <color indexed="8"/>
      <name val="Arial"/>
      <family val="2"/>
    </font>
    <font>
      <b/>
      <sz val="18"/>
      <name val="Arial"/>
      <family val="2"/>
    </font>
    <font>
      <sz val="11"/>
      <name val="Calibri"/>
      <family val="2"/>
    </font>
    <font>
      <sz val="10"/>
      <color indexed="8"/>
      <name val="Calibri"/>
      <family val="2"/>
    </font>
    <font>
      <b/>
      <sz val="11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4" tint="-0.499984740745262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9"/>
      <color theme="0"/>
      <name val="Arial"/>
      <family val="2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rgb="FF000000"/>
      <name val="Arial"/>
      <family val="2"/>
    </font>
    <font>
      <b/>
      <sz val="8"/>
      <color indexed="9"/>
      <name val="Courier New"/>
      <family val="3"/>
    </font>
    <font>
      <sz val="8"/>
      <name val="Courier New"/>
      <family val="3"/>
    </font>
    <font>
      <sz val="8"/>
      <color indexed="9"/>
      <name val="Courier New"/>
      <family val="3"/>
    </font>
    <font>
      <i/>
      <sz val="8"/>
      <name val="Courier New"/>
      <family val="3"/>
    </font>
    <font>
      <sz val="10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5"/>
      <name val="Arial"/>
      <family val="2"/>
    </font>
    <font>
      <b/>
      <sz val="5"/>
      <name val="Arial"/>
      <family val="2"/>
    </font>
    <font>
      <sz val="8"/>
      <name val="Calibri"/>
      <family val="2"/>
    </font>
    <font>
      <b/>
      <sz val="9"/>
      <color theme="0"/>
      <name val="Arial"/>
      <family val="2"/>
    </font>
    <font>
      <b/>
      <sz val="14"/>
      <color indexed="9"/>
      <name val="Arial"/>
      <family val="2"/>
    </font>
    <font>
      <b/>
      <sz val="11"/>
      <color theme="0"/>
      <name val="Arial"/>
      <family val="2"/>
    </font>
    <font>
      <b/>
      <sz val="8"/>
      <color theme="0" tint="-4.9989318521683403E-2"/>
      <name val="Arial"/>
      <family val="2"/>
    </font>
    <font>
      <sz val="10"/>
      <color theme="0" tint="-4.9989318521683403E-2"/>
      <name val="Arial"/>
      <family val="2"/>
    </font>
    <font>
      <b/>
      <i/>
      <sz val="1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47"/>
      </left>
      <right/>
      <top/>
      <bottom/>
      <diagonal/>
    </border>
    <border>
      <left/>
      <right style="thick">
        <color indexed="23"/>
      </right>
      <top/>
      <bottom/>
      <diagonal/>
    </border>
    <border>
      <left style="thick">
        <color indexed="47"/>
      </left>
      <right/>
      <top/>
      <bottom style="thick">
        <color indexed="23"/>
      </bottom>
      <diagonal/>
    </border>
    <border>
      <left/>
      <right/>
      <top/>
      <bottom style="thick">
        <color indexed="23"/>
      </bottom>
      <diagonal/>
    </border>
    <border>
      <left/>
      <right style="thick">
        <color indexed="23"/>
      </right>
      <top/>
      <bottom style="thick">
        <color indexed="23"/>
      </bottom>
      <diagonal/>
    </border>
    <border>
      <left style="thick">
        <color indexed="47"/>
      </left>
      <right/>
      <top style="thick">
        <color indexed="47"/>
      </top>
      <bottom/>
      <diagonal/>
    </border>
    <border>
      <left/>
      <right/>
      <top style="thick">
        <color indexed="47"/>
      </top>
      <bottom/>
      <diagonal/>
    </border>
    <border>
      <left/>
      <right style="thick">
        <color indexed="23"/>
      </right>
      <top style="thick">
        <color indexed="47"/>
      </top>
      <bottom/>
      <diagonal/>
    </border>
    <border>
      <left style="thick">
        <color indexed="22"/>
      </left>
      <right/>
      <top style="thick">
        <color indexed="22"/>
      </top>
      <bottom/>
      <diagonal/>
    </border>
    <border>
      <left/>
      <right style="thick">
        <color indexed="23"/>
      </right>
      <top style="thick">
        <color indexed="22"/>
      </top>
      <bottom/>
      <diagonal/>
    </border>
    <border>
      <left style="thick">
        <color indexed="22"/>
      </left>
      <right/>
      <top/>
      <bottom/>
      <diagonal/>
    </border>
    <border>
      <left style="thick">
        <color indexed="22"/>
      </left>
      <right/>
      <top/>
      <bottom style="thick">
        <color indexed="23"/>
      </bottom>
      <diagonal/>
    </border>
    <border>
      <left/>
      <right/>
      <top style="thick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indexed="23"/>
      </right>
      <top/>
      <bottom style="thick">
        <color indexed="23"/>
      </bottom>
      <diagonal/>
    </border>
    <border>
      <left style="thick">
        <color indexed="22"/>
      </left>
      <right/>
      <top/>
      <bottom style="medium">
        <color theme="0"/>
      </bottom>
      <diagonal/>
    </border>
    <border>
      <left/>
      <right style="thick">
        <color indexed="23"/>
      </right>
      <top/>
      <bottom style="medium">
        <color theme="0"/>
      </bottom>
      <diagonal/>
    </border>
    <border>
      <left/>
      <right style="thick">
        <color indexed="23"/>
      </right>
      <top style="medium">
        <color theme="0"/>
      </top>
      <bottom style="medium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499984740745262"/>
      </right>
      <top style="medium">
        <color theme="0" tint="-0.24994659260841701"/>
      </top>
      <bottom style="medium">
        <color theme="0" tint="-0.499984740745262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34998626667073579"/>
      </left>
      <right style="medium">
        <color theme="0" tint="-0.499984740745262"/>
      </right>
      <top/>
      <bottom/>
      <diagonal/>
    </border>
    <border>
      <left style="medium">
        <color theme="0" tint="-0.34998626667073579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34998626667073579"/>
      </left>
      <right style="medium">
        <color theme="0" tint="-0.499984740745262"/>
      </right>
      <top style="medium">
        <color theme="0" tint="-0.34998626667073579"/>
      </top>
      <bottom style="medium">
        <color theme="0" tint="-0.499984740745262"/>
      </bottom>
      <diagonal/>
    </border>
    <border>
      <left/>
      <right/>
      <top style="medium">
        <color theme="0" tint="-0.34998626667073579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34998626667073579"/>
      </top>
      <bottom style="medium">
        <color theme="0" tint="-0.499984740745262"/>
      </bottom>
      <diagonal/>
    </border>
    <border>
      <left style="medium">
        <color theme="0" tint="-0.34998626667073579"/>
      </left>
      <right style="medium">
        <color theme="0" tint="-0.499984740745262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 style="thick">
        <color indexed="22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thick">
        <color theme="0"/>
      </right>
      <top/>
      <bottom style="thick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22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/>
      <top style="medium">
        <color theme="0" tint="-4.9989318521683403E-2"/>
      </top>
      <bottom/>
      <diagonal/>
    </border>
    <border>
      <left style="medium">
        <color theme="0" tint="-4.9989318521683403E-2"/>
      </left>
      <right/>
      <top/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 style="medium">
        <color theme="0" tint="-0.14993743705557422"/>
      </left>
      <right/>
      <top style="medium">
        <color theme="0" tint="-0.14993743705557422"/>
      </top>
      <bottom style="medium">
        <color theme="0" tint="-0.14993743705557422"/>
      </bottom>
      <diagonal/>
    </border>
    <border>
      <left/>
      <right/>
      <top style="medium">
        <color theme="0" tint="-0.14993743705557422"/>
      </top>
      <bottom style="medium">
        <color theme="0" tint="-0.14993743705557422"/>
      </bottom>
      <diagonal/>
    </border>
    <border>
      <left style="medium">
        <color theme="0"/>
      </left>
      <right style="medium">
        <color theme="0" tint="-0.14996795556505021"/>
      </right>
      <top style="medium">
        <color theme="0" tint="-4.9989318521683403E-2"/>
      </top>
      <bottom style="medium">
        <color theme="0" tint="-0.14996795556505021"/>
      </bottom>
      <diagonal/>
    </border>
    <border>
      <left style="medium">
        <color theme="0" tint="-0.14996795556505021"/>
      </left>
      <right style="medium">
        <color theme="0" tint="-4.9989318521683403E-2"/>
      </right>
      <top style="medium">
        <color theme="0" tint="-4.9989318521683403E-2"/>
      </top>
      <bottom style="medium">
        <color theme="0" tint="-0.14996795556505021"/>
      </bottom>
      <diagonal/>
    </border>
    <border>
      <left style="medium">
        <color theme="0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6795556505021"/>
      </left>
      <right style="medium">
        <color theme="0" tint="-4.9989318521683403E-2"/>
      </right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/>
      </left>
      <right style="medium">
        <color theme="0" tint="-0.14996795556505021"/>
      </right>
      <top style="medium">
        <color theme="0" tint="-0.14996795556505021"/>
      </top>
      <bottom style="medium">
        <color theme="0" tint="-4.9989318521683403E-2"/>
      </bottom>
      <diagonal/>
    </border>
    <border>
      <left style="medium">
        <color theme="0" tint="-0.14996795556505021"/>
      </left>
      <right style="medium">
        <color theme="0" tint="-4.9989318521683403E-2"/>
      </right>
      <top style="medium">
        <color theme="0" tint="-0.14996795556505021"/>
      </top>
      <bottom style="medium">
        <color theme="0" tint="-4.9989318521683403E-2"/>
      </bottom>
      <diagonal/>
    </border>
    <border>
      <left style="medium">
        <color theme="0" tint="-0.14996795556505021"/>
      </left>
      <right/>
      <top style="medium">
        <color theme="0" tint="-4.9989318521683403E-2"/>
      </top>
      <bottom style="medium">
        <color theme="0" tint="-0.14996795556505021"/>
      </bottom>
      <diagonal/>
    </border>
    <border>
      <left style="medium">
        <color theme="0" tint="-0.14996795556505021"/>
      </left>
      <right/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6795556505021"/>
      </left>
      <right/>
      <top style="medium">
        <color theme="0" tint="-0.14996795556505021"/>
      </top>
      <bottom style="medium">
        <color theme="0" tint="-4.9989318521683403E-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340">
    <xf numFmtId="0" fontId="0" fillId="0" borderId="0" xfId="0"/>
    <xf numFmtId="0" fontId="6" fillId="3" borderId="0" xfId="0" applyFont="1" applyFill="1" applyProtection="1">
      <protection hidden="1"/>
    </xf>
    <xf numFmtId="0" fontId="13" fillId="3" borderId="0" xfId="0" applyFont="1" applyFill="1" applyAlignment="1" applyProtection="1">
      <alignment horizontal="centerContinuous"/>
      <protection hidden="1"/>
    </xf>
    <xf numFmtId="0" fontId="14" fillId="3" borderId="0" xfId="0" applyFont="1" applyFill="1" applyAlignment="1" applyProtection="1">
      <alignment horizontal="centerContinuous"/>
      <protection hidden="1"/>
    </xf>
    <xf numFmtId="0" fontId="6" fillId="3" borderId="0" xfId="0" applyFont="1" applyFill="1" applyAlignment="1" applyProtection="1">
      <alignment horizontal="centerContinuous"/>
      <protection hidden="1"/>
    </xf>
    <xf numFmtId="0" fontId="0" fillId="3" borderId="0" xfId="0" applyFill="1" applyBorder="1" applyProtection="1">
      <protection hidden="1"/>
    </xf>
    <xf numFmtId="0" fontId="12" fillId="3" borderId="0" xfId="0" applyFont="1" applyFill="1" applyBorder="1" applyProtection="1">
      <protection hidden="1"/>
    </xf>
    <xf numFmtId="0" fontId="0" fillId="3" borderId="0" xfId="0" applyFill="1" applyProtection="1">
      <protection hidden="1"/>
    </xf>
    <xf numFmtId="168" fontId="0" fillId="3" borderId="0" xfId="0" applyNumberFormat="1" applyFill="1" applyAlignment="1" applyProtection="1">
      <alignment horizontal="right"/>
      <protection hidden="1"/>
    </xf>
    <xf numFmtId="0" fontId="7" fillId="3" borderId="1" xfId="0" applyFont="1" applyFill="1" applyBorder="1" applyAlignment="1" applyProtection="1">
      <alignment horizontal="center"/>
      <protection hidden="1"/>
    </xf>
    <xf numFmtId="172" fontId="0" fillId="3" borderId="2" xfId="0" applyNumberFormat="1" applyFill="1" applyBorder="1" applyAlignment="1" applyProtection="1">
      <alignment horizontal="center"/>
      <protection hidden="1"/>
    </xf>
    <xf numFmtId="0" fontId="0" fillId="3" borderId="2" xfId="0" applyFill="1" applyBorder="1" applyProtection="1">
      <protection hidden="1"/>
    </xf>
    <xf numFmtId="0" fontId="0" fillId="3" borderId="3" xfId="0" applyFill="1" applyBorder="1" applyProtection="1">
      <protection hidden="1"/>
    </xf>
    <xf numFmtId="179" fontId="0" fillId="3" borderId="0" xfId="0" applyNumberFormat="1" applyFill="1" applyAlignment="1" applyProtection="1">
      <alignment horizontal="right"/>
      <protection hidden="1"/>
    </xf>
    <xf numFmtId="0" fontId="6" fillId="3" borderId="4" xfId="0" applyFont="1" applyFill="1" applyBorder="1" applyAlignment="1" applyProtection="1">
      <alignment horizontal="center"/>
      <protection hidden="1"/>
    </xf>
    <xf numFmtId="0" fontId="6" fillId="3" borderId="0" xfId="0" applyFont="1" applyFill="1" applyBorder="1" applyProtection="1">
      <protection hidden="1"/>
    </xf>
    <xf numFmtId="0" fontId="6" fillId="3" borderId="0" xfId="0" applyFont="1" applyFill="1" applyBorder="1" applyAlignment="1" applyProtection="1">
      <alignment horizontal="center" wrapText="1"/>
      <protection hidden="1"/>
    </xf>
    <xf numFmtId="168" fontId="6" fillId="3" borderId="4" xfId="0" applyNumberFormat="1" applyFont="1" applyFill="1" applyBorder="1" applyAlignment="1" applyProtection="1">
      <alignment horizontal="center"/>
      <protection hidden="1"/>
    </xf>
    <xf numFmtId="0" fontId="8" fillId="3" borderId="4" xfId="0" applyFont="1" applyFill="1" applyBorder="1" applyAlignment="1" applyProtection="1">
      <alignment horizontal="center"/>
      <protection hidden="1"/>
    </xf>
    <xf numFmtId="0" fontId="0" fillId="3" borderId="5" xfId="0" applyFill="1" applyBorder="1" applyAlignment="1" applyProtection="1">
      <alignment horizontal="center"/>
      <protection hidden="1"/>
    </xf>
    <xf numFmtId="167" fontId="0" fillId="3" borderId="6" xfId="0" applyNumberFormat="1" applyFill="1" applyBorder="1" applyAlignment="1" applyProtection="1">
      <alignment horizontal="center"/>
      <protection hidden="1"/>
    </xf>
    <xf numFmtId="172" fontId="0" fillId="3" borderId="6" xfId="0" applyNumberFormat="1" applyFill="1" applyBorder="1" applyAlignment="1" applyProtection="1">
      <alignment horizontal="center"/>
      <protection hidden="1"/>
    </xf>
    <xf numFmtId="166" fontId="0" fillId="3" borderId="7" xfId="0" applyNumberFormat="1" applyFill="1" applyBorder="1" applyAlignment="1" applyProtection="1">
      <alignment horizontal="center"/>
      <protection hidden="1"/>
    </xf>
    <xf numFmtId="0" fontId="0" fillId="3" borderId="4" xfId="0" applyFill="1" applyBorder="1" applyAlignment="1" applyProtection="1">
      <alignment horizontal="center"/>
      <protection hidden="1"/>
    </xf>
    <xf numFmtId="177" fontId="0" fillId="3" borderId="0" xfId="0" applyNumberFormat="1" applyFill="1" applyBorder="1" applyAlignment="1" applyProtection="1">
      <alignment horizontal="left"/>
      <protection hidden="1"/>
    </xf>
    <xf numFmtId="0" fontId="0" fillId="3" borderId="0" xfId="0" applyFill="1" applyBorder="1" applyAlignment="1" applyProtection="1">
      <alignment horizontal="center"/>
      <protection hidden="1"/>
    </xf>
    <xf numFmtId="1" fontId="0" fillId="3" borderId="0" xfId="0" applyNumberFormat="1" applyFill="1" applyBorder="1" applyAlignment="1" applyProtection="1">
      <alignment horizontal="center"/>
      <protection hidden="1"/>
    </xf>
    <xf numFmtId="177" fontId="0" fillId="3" borderId="0" xfId="0" applyNumberFormat="1" applyFill="1" applyBorder="1" applyProtection="1">
      <protection hidden="1"/>
    </xf>
    <xf numFmtId="173" fontId="6" fillId="3" borderId="4" xfId="0" applyNumberFormat="1" applyFont="1" applyFill="1" applyBorder="1" applyAlignment="1" applyProtection="1">
      <alignment horizontal="center"/>
      <protection hidden="1"/>
    </xf>
    <xf numFmtId="0" fontId="6" fillId="3" borderId="5" xfId="0" applyFont="1" applyFill="1" applyBorder="1" applyAlignment="1" applyProtection="1">
      <alignment horizontal="center"/>
      <protection hidden="1"/>
    </xf>
    <xf numFmtId="167" fontId="6" fillId="3" borderId="6" xfId="0" applyNumberFormat="1" applyFont="1" applyFill="1" applyBorder="1" applyAlignment="1" applyProtection="1">
      <alignment horizontal="center"/>
      <protection hidden="1"/>
    </xf>
    <xf numFmtId="172" fontId="6" fillId="3" borderId="6" xfId="0" applyNumberFormat="1" applyFont="1" applyFill="1" applyBorder="1" applyAlignment="1" applyProtection="1">
      <alignment horizontal="center"/>
      <protection hidden="1"/>
    </xf>
    <xf numFmtId="174" fontId="6" fillId="3" borderId="4" xfId="0" applyNumberFormat="1" applyFont="1" applyFill="1" applyBorder="1" applyAlignment="1" applyProtection="1">
      <alignment horizontal="center"/>
      <protection hidden="1"/>
    </xf>
    <xf numFmtId="177" fontId="0" fillId="3" borderId="0" xfId="0" applyNumberFormat="1" applyFill="1" applyBorder="1" applyAlignment="1" applyProtection="1">
      <alignment horizontal="right"/>
      <protection hidden="1"/>
    </xf>
    <xf numFmtId="0" fontId="6" fillId="3" borderId="8" xfId="0" applyFont="1" applyFill="1" applyBorder="1" applyAlignment="1" applyProtection="1">
      <alignment horizontal="center"/>
      <protection hidden="1"/>
    </xf>
    <xf numFmtId="169" fontId="6" fillId="3" borderId="0" xfId="0" applyNumberFormat="1" applyFont="1" applyFill="1" applyBorder="1" applyAlignment="1" applyProtection="1">
      <alignment horizontal="centerContinuous"/>
      <protection hidden="1"/>
    </xf>
    <xf numFmtId="0" fontId="5" fillId="3" borderId="0" xfId="0" applyFont="1" applyFill="1" applyBorder="1" applyAlignment="1" applyProtection="1">
      <alignment horizontal="centerContinuous"/>
      <protection hidden="1"/>
    </xf>
    <xf numFmtId="0" fontId="0" fillId="3" borderId="8" xfId="0" applyFill="1" applyBorder="1" applyProtection="1">
      <protection hidden="1"/>
    </xf>
    <xf numFmtId="0" fontId="15" fillId="3" borderId="0" xfId="0" applyFont="1" applyFill="1" applyBorder="1" applyAlignment="1" applyProtection="1">
      <alignment vertical="center"/>
      <protection hidden="1"/>
    </xf>
    <xf numFmtId="0" fontId="6" fillId="3" borderId="0" xfId="0" applyFont="1" applyFill="1" applyBorder="1"/>
    <xf numFmtId="164" fontId="15" fillId="3" borderId="0" xfId="0" applyNumberFormat="1" applyFont="1" applyFill="1" applyBorder="1" applyAlignment="1" applyProtection="1">
      <alignment vertical="center"/>
      <protection hidden="1"/>
    </xf>
    <xf numFmtId="0" fontId="15" fillId="3" borderId="0" xfId="0" applyFont="1" applyFill="1" applyBorder="1"/>
    <xf numFmtId="2" fontId="6" fillId="3" borderId="0" xfId="0" applyNumberFormat="1" applyFont="1" applyFill="1" applyBorder="1"/>
    <xf numFmtId="0" fontId="15" fillId="3" borderId="0" xfId="0" applyFont="1" applyFill="1" applyBorder="1" applyAlignment="1" applyProtection="1">
      <alignment horizontal="right" vertical="center"/>
      <protection hidden="1"/>
    </xf>
    <xf numFmtId="0" fontId="11" fillId="3" borderId="1" xfId="0" applyFont="1" applyFill="1" applyBorder="1" applyAlignment="1" applyProtection="1">
      <alignment horizontal="center" wrapText="1"/>
      <protection hidden="1"/>
    </xf>
    <xf numFmtId="166" fontId="0" fillId="3" borderId="0" xfId="0" applyNumberFormat="1" applyFill="1" applyBorder="1" applyAlignment="1" applyProtection="1">
      <alignment horizontal="right"/>
      <protection hidden="1"/>
    </xf>
    <xf numFmtId="181" fontId="0" fillId="3" borderId="0" xfId="0" applyNumberFormat="1" applyFill="1" applyBorder="1" applyAlignment="1" applyProtection="1">
      <alignment horizontal="right"/>
      <protection hidden="1"/>
    </xf>
    <xf numFmtId="0" fontId="0" fillId="3" borderId="0" xfId="0" applyFill="1" applyBorder="1" applyAlignment="1" applyProtection="1">
      <alignment horizontal="right"/>
      <protection hidden="1"/>
    </xf>
    <xf numFmtId="176" fontId="0" fillId="3" borderId="0" xfId="0" applyNumberFormat="1" applyFill="1" applyBorder="1" applyAlignment="1" applyProtection="1">
      <alignment horizontal="right"/>
      <protection hidden="1"/>
    </xf>
    <xf numFmtId="177" fontId="0" fillId="3" borderId="0" xfId="0" applyNumberFormat="1" applyFill="1" applyAlignment="1" applyProtection="1">
      <alignment horizontal="right"/>
      <protection hidden="1"/>
    </xf>
    <xf numFmtId="180" fontId="0" fillId="3" borderId="0" xfId="0" applyNumberFormat="1" applyFill="1" applyBorder="1" applyAlignment="1" applyProtection="1">
      <alignment horizontal="right"/>
      <protection hidden="1"/>
    </xf>
    <xf numFmtId="169" fontId="0" fillId="3" borderId="0" xfId="0" applyNumberFormat="1" applyFill="1" applyBorder="1" applyAlignment="1" applyProtection="1">
      <alignment horizontal="right"/>
      <protection hidden="1"/>
    </xf>
    <xf numFmtId="175" fontId="0" fillId="3" borderId="0" xfId="0" applyNumberFormat="1" applyFill="1" applyBorder="1" applyAlignment="1" applyProtection="1">
      <alignment horizontal="right"/>
      <protection hidden="1"/>
    </xf>
    <xf numFmtId="182" fontId="0" fillId="3" borderId="0" xfId="0" applyNumberFormat="1" applyFill="1" applyBorder="1" applyAlignment="1" applyProtection="1">
      <alignment horizontal="right"/>
      <protection hidden="1"/>
    </xf>
    <xf numFmtId="0" fontId="0" fillId="5" borderId="0" xfId="0" applyFill="1"/>
    <xf numFmtId="0" fontId="25" fillId="5" borderId="0" xfId="0" applyFont="1" applyFill="1"/>
    <xf numFmtId="0" fontId="26" fillId="5" borderId="0" xfId="0" applyFont="1" applyFill="1" applyAlignment="1">
      <alignment horizontal="center" readingOrder="1"/>
    </xf>
    <xf numFmtId="0" fontId="27" fillId="0" borderId="0" xfId="0" applyFont="1"/>
    <xf numFmtId="0" fontId="8" fillId="0" borderId="0" xfId="0" applyFont="1"/>
    <xf numFmtId="0" fontId="17" fillId="3" borderId="0" xfId="0" applyFont="1" applyFill="1" applyAlignment="1" applyProtection="1">
      <alignment horizontal="centerContinuous"/>
      <protection hidden="1"/>
    </xf>
    <xf numFmtId="0" fontId="18" fillId="3" borderId="0" xfId="0" applyFont="1" applyFill="1" applyBorder="1" applyProtection="1">
      <protection hidden="1"/>
    </xf>
    <xf numFmtId="0" fontId="0" fillId="5" borderId="0" xfId="0" applyFill="1" applyProtection="1">
      <protection hidden="1"/>
    </xf>
    <xf numFmtId="0" fontId="5" fillId="5" borderId="0" xfId="0" applyFont="1" applyFill="1" applyBorder="1" applyProtection="1">
      <protection hidden="1"/>
    </xf>
    <xf numFmtId="173" fontId="5" fillId="5" borderId="0" xfId="0" applyNumberFormat="1" applyFont="1" applyFill="1" applyBorder="1" applyProtection="1">
      <protection hidden="1"/>
    </xf>
    <xf numFmtId="0" fontId="0" fillId="6" borderId="13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0" fillId="6" borderId="14" xfId="0" applyFill="1" applyBorder="1" applyProtection="1">
      <protection hidden="1"/>
    </xf>
    <xf numFmtId="0" fontId="0" fillId="6" borderId="15" xfId="0" applyFill="1" applyBorder="1" applyProtection="1">
      <protection hidden="1"/>
    </xf>
    <xf numFmtId="0" fontId="0" fillId="6" borderId="16" xfId="0" applyFill="1" applyBorder="1" applyProtection="1">
      <protection hidden="1"/>
    </xf>
    <xf numFmtId="0" fontId="0" fillId="6" borderId="17" xfId="0" applyFill="1" applyBorder="1" applyProtection="1">
      <protection hidden="1"/>
    </xf>
    <xf numFmtId="0" fontId="0" fillId="6" borderId="18" xfId="0" applyFill="1" applyBorder="1" applyProtection="1">
      <protection hidden="1"/>
    </xf>
    <xf numFmtId="0" fontId="0" fillId="6" borderId="19" xfId="0" applyFill="1" applyBorder="1" applyProtection="1">
      <protection hidden="1"/>
    </xf>
    <xf numFmtId="0" fontId="0" fillId="6" borderId="20" xfId="0" applyFill="1" applyBorder="1" applyProtection="1">
      <protection hidden="1"/>
    </xf>
    <xf numFmtId="0" fontId="5" fillId="6" borderId="0" xfId="0" applyFont="1" applyFill="1" applyBorder="1" applyProtection="1">
      <protection hidden="1"/>
    </xf>
    <xf numFmtId="0" fontId="5" fillId="6" borderId="0" xfId="0" applyFont="1" applyFill="1" applyBorder="1" applyAlignment="1" applyProtection="1">
      <alignment horizontal="center" wrapText="1"/>
      <protection hidden="1"/>
    </xf>
    <xf numFmtId="0" fontId="0" fillId="6" borderId="0" xfId="0" applyFill="1" applyBorder="1" applyAlignment="1" applyProtection="1">
      <alignment horizontal="center"/>
      <protection hidden="1"/>
    </xf>
    <xf numFmtId="177" fontId="5" fillId="6" borderId="0" xfId="0" applyNumberFormat="1" applyFont="1" applyFill="1" applyBorder="1" applyAlignment="1" applyProtection="1">
      <alignment horizontal="left"/>
      <protection hidden="1"/>
    </xf>
    <xf numFmtId="1" fontId="0" fillId="6" borderId="0" xfId="0" applyNumberFormat="1" applyFill="1" applyBorder="1" applyAlignment="1" applyProtection="1">
      <alignment horizontal="center"/>
      <protection hidden="1"/>
    </xf>
    <xf numFmtId="0" fontId="0" fillId="6" borderId="0" xfId="0" applyFill="1" applyBorder="1" applyAlignment="1" applyProtection="1">
      <alignment horizontal="centerContinuous"/>
      <protection hidden="1"/>
    </xf>
    <xf numFmtId="177" fontId="5" fillId="6" borderId="0" xfId="0" applyNumberFormat="1" applyFont="1" applyFill="1" applyBorder="1" applyAlignment="1" applyProtection="1">
      <alignment horizontal="right"/>
      <protection hidden="1"/>
    </xf>
    <xf numFmtId="0" fontId="28" fillId="6" borderId="0" xfId="0" applyFont="1" applyFill="1" applyBorder="1" applyAlignment="1" applyProtection="1">
      <alignment horizontal="right"/>
      <protection hidden="1"/>
    </xf>
    <xf numFmtId="165" fontId="29" fillId="6" borderId="0" xfId="0" applyNumberFormat="1" applyFont="1" applyFill="1" applyBorder="1" applyProtection="1">
      <protection hidden="1"/>
    </xf>
    <xf numFmtId="181" fontId="29" fillId="6" borderId="0" xfId="0" applyNumberFormat="1" applyFont="1" applyFill="1" applyBorder="1" applyProtection="1">
      <protection hidden="1"/>
    </xf>
    <xf numFmtId="0" fontId="29" fillId="7" borderId="21" xfId="0" applyFont="1" applyFill="1" applyBorder="1" applyProtection="1">
      <protection hidden="1"/>
    </xf>
    <xf numFmtId="0" fontId="29" fillId="7" borderId="22" xfId="0" applyFont="1" applyFill="1" applyBorder="1" applyProtection="1">
      <protection hidden="1"/>
    </xf>
    <xf numFmtId="0" fontId="29" fillId="7" borderId="24" xfId="0" applyFont="1" applyFill="1" applyBorder="1" applyProtection="1">
      <protection hidden="1"/>
    </xf>
    <xf numFmtId="0" fontId="29" fillId="7" borderId="27" xfId="0" applyFont="1" applyFill="1" applyBorder="1" applyProtection="1">
      <protection hidden="1"/>
    </xf>
    <xf numFmtId="0" fontId="29" fillId="7" borderId="28" xfId="0" applyFont="1" applyFill="1" applyBorder="1" applyProtection="1">
      <protection hidden="1"/>
    </xf>
    <xf numFmtId="0" fontId="29" fillId="7" borderId="29" xfId="0" applyFont="1" applyFill="1" applyBorder="1" applyProtection="1">
      <protection hidden="1"/>
    </xf>
    <xf numFmtId="0" fontId="16" fillId="8" borderId="21" xfId="0" applyFont="1" applyFill="1" applyBorder="1" applyProtection="1">
      <protection hidden="1"/>
    </xf>
    <xf numFmtId="0" fontId="16" fillId="8" borderId="25" xfId="0" applyFont="1" applyFill="1" applyBorder="1" applyProtection="1">
      <protection hidden="1"/>
    </xf>
    <xf numFmtId="0" fontId="16" fillId="8" borderId="23" xfId="0" applyFont="1" applyFill="1" applyBorder="1" applyProtection="1">
      <protection hidden="1"/>
    </xf>
    <xf numFmtId="0" fontId="16" fillId="8" borderId="0" xfId="0" applyFont="1" applyFill="1" applyBorder="1" applyProtection="1">
      <protection hidden="1"/>
    </xf>
    <xf numFmtId="0" fontId="16" fillId="8" borderId="24" xfId="0" applyFont="1" applyFill="1" applyBorder="1" applyProtection="1">
      <protection hidden="1"/>
    </xf>
    <xf numFmtId="0" fontId="16" fillId="8" borderId="16" xfId="0" applyFont="1" applyFill="1" applyBorder="1" applyProtection="1">
      <protection hidden="1"/>
    </xf>
    <xf numFmtId="178" fontId="16" fillId="8" borderId="22" xfId="0" applyNumberFormat="1" applyFont="1" applyFill="1" applyBorder="1" applyAlignment="1" applyProtection="1">
      <alignment horizontal="right"/>
      <protection hidden="1"/>
    </xf>
    <xf numFmtId="170" fontId="16" fillId="8" borderId="14" xfId="0" applyNumberFormat="1" applyFont="1" applyFill="1" applyBorder="1" applyAlignment="1" applyProtection="1">
      <alignment horizontal="right"/>
      <protection hidden="1"/>
    </xf>
    <xf numFmtId="182" fontId="16" fillId="8" borderId="17" xfId="0" applyNumberFormat="1" applyFont="1" applyFill="1" applyBorder="1" applyProtection="1">
      <protection hidden="1"/>
    </xf>
    <xf numFmtId="0" fontId="29" fillId="7" borderId="30" xfId="0" applyFont="1" applyFill="1" applyBorder="1" applyProtection="1">
      <protection hidden="1"/>
    </xf>
    <xf numFmtId="0" fontId="19" fillId="0" borderId="0" xfId="0" applyFont="1"/>
    <xf numFmtId="14" fontId="0" fillId="0" borderId="0" xfId="0" applyNumberForma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31" fillId="5" borderId="0" xfId="0" applyFont="1" applyFill="1" applyBorder="1" applyProtection="1">
      <protection hidden="1"/>
    </xf>
    <xf numFmtId="0" fontId="29" fillId="6" borderId="0" xfId="0" applyFont="1" applyFill="1" applyProtection="1">
      <protection hidden="1"/>
    </xf>
    <xf numFmtId="0" fontId="3" fillId="0" borderId="0" xfId="0" applyFont="1"/>
    <xf numFmtId="0" fontId="32" fillId="0" borderId="0" xfId="0" applyFont="1"/>
    <xf numFmtId="0" fontId="21" fillId="5" borderId="34" xfId="0" applyFont="1" applyFill="1" applyBorder="1" applyAlignment="1" applyProtection="1">
      <alignment horizontal="center" vertical="center"/>
      <protection locked="0" hidden="1"/>
    </xf>
    <xf numFmtId="0" fontId="28" fillId="6" borderId="0" xfId="0" applyFont="1" applyFill="1" applyBorder="1" applyProtection="1">
      <protection hidden="1"/>
    </xf>
    <xf numFmtId="0" fontId="3" fillId="0" borderId="0" xfId="0" applyFont="1" applyBorder="1"/>
    <xf numFmtId="0" fontId="0" fillId="0" borderId="0" xfId="0" applyBorder="1"/>
    <xf numFmtId="167" fontId="29" fillId="10" borderId="35" xfId="0" applyNumberFormat="1" applyFont="1" applyFill="1" applyBorder="1" applyAlignment="1" applyProtection="1">
      <alignment horizontal="center"/>
      <protection hidden="1"/>
    </xf>
    <xf numFmtId="172" fontId="29" fillId="10" borderId="35" xfId="0" applyNumberFormat="1" applyFont="1" applyFill="1" applyBorder="1" applyAlignment="1" applyProtection="1">
      <alignment horizontal="center"/>
      <protection hidden="1"/>
    </xf>
    <xf numFmtId="167" fontId="29" fillId="11" borderId="35" xfId="0" applyNumberFormat="1" applyFont="1" applyFill="1" applyBorder="1" applyAlignment="1" applyProtection="1">
      <alignment horizontal="center"/>
      <protection hidden="1"/>
    </xf>
    <xf numFmtId="172" fontId="29" fillId="11" borderId="35" xfId="0" applyNumberFormat="1" applyFont="1" applyFill="1" applyBorder="1" applyAlignment="1" applyProtection="1">
      <alignment horizontal="center"/>
      <protection hidden="1"/>
    </xf>
    <xf numFmtId="0" fontId="28" fillId="10" borderId="35" xfId="0" applyFont="1" applyFill="1" applyBorder="1" applyAlignment="1" applyProtection="1">
      <alignment horizontal="center"/>
      <protection hidden="1"/>
    </xf>
    <xf numFmtId="0" fontId="28" fillId="11" borderId="35" xfId="0" applyFont="1" applyFill="1" applyBorder="1" applyAlignment="1" applyProtection="1">
      <alignment horizontal="center"/>
      <protection hidden="1"/>
    </xf>
    <xf numFmtId="0" fontId="33" fillId="7" borderId="36" xfId="0" applyFont="1" applyFill="1" applyBorder="1" applyAlignment="1" applyProtection="1">
      <alignment horizontal="center" wrapText="1"/>
      <protection hidden="1"/>
    </xf>
    <xf numFmtId="168" fontId="29" fillId="7" borderId="36" xfId="0" applyNumberFormat="1" applyFont="1" applyFill="1" applyBorder="1" applyAlignment="1" applyProtection="1">
      <alignment horizontal="center"/>
      <protection hidden="1"/>
    </xf>
    <xf numFmtId="0" fontId="29" fillId="7" borderId="36" xfId="0" applyFont="1" applyFill="1" applyBorder="1" applyAlignment="1" applyProtection="1">
      <alignment horizontal="center"/>
      <protection hidden="1"/>
    </xf>
    <xf numFmtId="173" fontId="29" fillId="7" borderId="36" xfId="0" applyNumberFormat="1" applyFont="1" applyFill="1" applyBorder="1" applyAlignment="1" applyProtection="1">
      <alignment horizontal="center"/>
      <protection hidden="1"/>
    </xf>
    <xf numFmtId="174" fontId="29" fillId="7" borderId="36" xfId="0" applyNumberFormat="1" applyFont="1" applyFill="1" applyBorder="1" applyAlignment="1" applyProtection="1">
      <alignment horizontal="center"/>
      <protection hidden="1"/>
    </xf>
    <xf numFmtId="0" fontId="29" fillId="7" borderId="37" xfId="0" applyFont="1" applyFill="1" applyBorder="1" applyAlignment="1" applyProtection="1">
      <alignment horizontal="center"/>
      <protection hidden="1"/>
    </xf>
    <xf numFmtId="172" fontId="28" fillId="7" borderId="38" xfId="0" applyNumberFormat="1" applyFont="1" applyFill="1" applyBorder="1" applyAlignment="1" applyProtection="1">
      <alignment horizontal="center"/>
      <protection hidden="1"/>
    </xf>
    <xf numFmtId="0" fontId="16" fillId="7" borderId="39" xfId="0" applyFont="1" applyFill="1" applyBorder="1" applyProtection="1">
      <protection hidden="1"/>
    </xf>
    <xf numFmtId="0" fontId="16" fillId="7" borderId="40" xfId="0" applyFont="1" applyFill="1" applyBorder="1" applyProtection="1">
      <protection hidden="1"/>
    </xf>
    <xf numFmtId="0" fontId="0" fillId="7" borderId="36" xfId="0" applyFill="1" applyBorder="1" applyAlignment="1" applyProtection="1">
      <alignment horizontal="center"/>
      <protection hidden="1"/>
    </xf>
    <xf numFmtId="0" fontId="0" fillId="7" borderId="37" xfId="0" applyFill="1" applyBorder="1" applyAlignment="1" applyProtection="1">
      <alignment horizontal="center"/>
      <protection hidden="1"/>
    </xf>
    <xf numFmtId="0" fontId="8" fillId="7" borderId="41" xfId="0" applyFont="1" applyFill="1" applyBorder="1" applyAlignment="1" applyProtection="1">
      <alignment horizontal="center"/>
      <protection hidden="1"/>
    </xf>
    <xf numFmtId="172" fontId="29" fillId="7" borderId="39" xfId="0" applyNumberFormat="1" applyFont="1" applyFill="1" applyBorder="1" applyAlignment="1" applyProtection="1">
      <alignment horizontal="right"/>
      <protection hidden="1"/>
    </xf>
    <xf numFmtId="0" fontId="29" fillId="7" borderId="39" xfId="0" applyFont="1" applyFill="1" applyBorder="1" applyProtection="1">
      <protection hidden="1"/>
    </xf>
    <xf numFmtId="0" fontId="34" fillId="7" borderId="42" xfId="0" applyFont="1" applyFill="1" applyBorder="1" applyAlignment="1" applyProtection="1">
      <alignment horizontal="center" vertical="center" wrapText="1"/>
      <protection hidden="1"/>
    </xf>
    <xf numFmtId="173" fontId="29" fillId="7" borderId="25" xfId="0" applyNumberFormat="1" applyFont="1" applyFill="1" applyBorder="1" applyProtection="1">
      <protection hidden="1"/>
    </xf>
    <xf numFmtId="173" fontId="29" fillId="7" borderId="43" xfId="0" applyNumberFormat="1" applyFont="1" applyFill="1" applyBorder="1" applyProtection="1">
      <protection hidden="1"/>
    </xf>
    <xf numFmtId="176" fontId="28" fillId="7" borderId="16" xfId="0" applyNumberFormat="1" applyFont="1" applyFill="1" applyBorder="1" applyProtection="1">
      <protection hidden="1"/>
    </xf>
    <xf numFmtId="0" fontId="29" fillId="7" borderId="44" xfId="0" applyFont="1" applyFill="1" applyBorder="1" applyProtection="1">
      <protection hidden="1"/>
    </xf>
    <xf numFmtId="0" fontId="29" fillId="7" borderId="45" xfId="0" applyFont="1" applyFill="1" applyBorder="1" applyProtection="1">
      <protection hidden="1"/>
    </xf>
    <xf numFmtId="0" fontId="29" fillId="7" borderId="46" xfId="0" applyFont="1" applyFill="1" applyBorder="1" applyProtection="1">
      <protection hidden="1"/>
    </xf>
    <xf numFmtId="0" fontId="29" fillId="7" borderId="47" xfId="0" applyFont="1" applyFill="1" applyBorder="1" applyProtection="1">
      <protection hidden="1"/>
    </xf>
    <xf numFmtId="0" fontId="35" fillId="5" borderId="0" xfId="0" applyFont="1" applyFill="1" applyProtection="1">
      <protection hidden="1"/>
    </xf>
    <xf numFmtId="0" fontId="4" fillId="5" borderId="0" xfId="0" applyFont="1" applyFill="1" applyProtection="1">
      <protection hidden="1"/>
    </xf>
    <xf numFmtId="178" fontId="0" fillId="3" borderId="0" xfId="0" applyNumberFormat="1" applyFill="1" applyBorder="1" applyAlignment="1" applyProtection="1">
      <alignment horizontal="right"/>
      <protection hidden="1"/>
    </xf>
    <xf numFmtId="0" fontId="0" fillId="0" borderId="0" xfId="0" applyFill="1"/>
    <xf numFmtId="0" fontId="3" fillId="0" borderId="0" xfId="0" applyFont="1" applyFill="1"/>
    <xf numFmtId="0" fontId="32" fillId="0" borderId="0" xfId="0" applyFont="1" applyFill="1"/>
    <xf numFmtId="166" fontId="6" fillId="3" borderId="7" xfId="0" applyNumberFormat="1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Protection="1">
      <protection hidden="1"/>
    </xf>
    <xf numFmtId="0" fontId="8" fillId="3" borderId="0" xfId="0" applyFont="1" applyFill="1" applyBorder="1" applyProtection="1">
      <protection hidden="1"/>
    </xf>
    <xf numFmtId="0" fontId="21" fillId="3" borderId="0" xfId="0" applyFont="1" applyFill="1" applyBorder="1" applyProtection="1">
      <protection hidden="1"/>
    </xf>
    <xf numFmtId="0" fontId="8" fillId="5" borderId="0" xfId="0" applyFont="1" applyFill="1" applyAlignment="1">
      <alignment horizontal="center" vertical="center"/>
    </xf>
    <xf numFmtId="0" fontId="27" fillId="0" borderId="0" xfId="0" applyFont="1" applyAlignment="1">
      <alignment vertical="center" readingOrder="1"/>
    </xf>
    <xf numFmtId="0" fontId="4" fillId="5" borderId="0" xfId="0" applyFont="1" applyFill="1"/>
    <xf numFmtId="0" fontId="38" fillId="2" borderId="48" xfId="0" applyFont="1" applyFill="1" applyBorder="1" applyAlignment="1" applyProtection="1">
      <alignment vertical="center"/>
      <protection hidden="1"/>
    </xf>
    <xf numFmtId="0" fontId="39" fillId="3" borderId="48" xfId="0" applyFont="1" applyFill="1" applyBorder="1" applyAlignment="1" applyProtection="1">
      <alignment vertical="center"/>
      <protection locked="0" hidden="1"/>
    </xf>
    <xf numFmtId="0" fontId="38" fillId="2" borderId="4" xfId="0" applyFont="1" applyFill="1" applyBorder="1" applyAlignment="1" applyProtection="1">
      <alignment vertical="center"/>
      <protection hidden="1"/>
    </xf>
    <xf numFmtId="0" fontId="39" fillId="3" borderId="49" xfId="0" applyFont="1" applyFill="1" applyBorder="1" applyAlignment="1" applyProtection="1">
      <alignment vertical="center"/>
      <protection locked="0" hidden="1"/>
    </xf>
    <xf numFmtId="0" fontId="39" fillId="12" borderId="50" xfId="0" applyFont="1" applyFill="1" applyBorder="1" applyAlignment="1" applyProtection="1">
      <alignment vertical="center"/>
      <protection hidden="1"/>
    </xf>
    <xf numFmtId="0" fontId="38" fillId="2" borderId="51" xfId="0" applyFont="1" applyFill="1" applyBorder="1" applyAlignment="1" applyProtection="1">
      <alignment horizontal="centerContinuous" vertical="center"/>
      <protection hidden="1"/>
    </xf>
    <xf numFmtId="0" fontId="40" fillId="2" borderId="52" xfId="0" applyFont="1" applyFill="1" applyBorder="1" applyAlignment="1" applyProtection="1">
      <alignment horizontal="centerContinuous" vertical="center"/>
      <protection hidden="1"/>
    </xf>
    <xf numFmtId="0" fontId="40" fillId="2" borderId="52" xfId="0" applyFont="1" applyFill="1" applyBorder="1" applyAlignment="1" applyProtection="1">
      <alignment horizontal="center" vertical="center"/>
      <protection hidden="1"/>
    </xf>
    <xf numFmtId="0" fontId="38" fillId="2" borderId="53" xfId="0" applyFont="1" applyFill="1" applyBorder="1" applyAlignment="1" applyProtection="1">
      <alignment vertical="center"/>
      <protection hidden="1"/>
    </xf>
    <xf numFmtId="0" fontId="40" fillId="13" borderId="54" xfId="0" applyFont="1" applyFill="1" applyBorder="1" applyAlignment="1" applyProtection="1">
      <alignment horizontal="right" vertical="center"/>
      <protection hidden="1"/>
    </xf>
    <xf numFmtId="0" fontId="40" fillId="13" borderId="54" xfId="0" applyFont="1" applyFill="1" applyBorder="1" applyAlignment="1" applyProtection="1">
      <alignment vertical="center"/>
      <protection hidden="1"/>
    </xf>
    <xf numFmtId="0" fontId="40" fillId="2" borderId="54" xfId="0" applyFont="1" applyFill="1" applyBorder="1" applyAlignment="1" applyProtection="1">
      <alignment horizontal="right" vertical="center"/>
      <protection hidden="1"/>
    </xf>
    <xf numFmtId="0" fontId="40" fillId="2" borderId="54" xfId="0" applyFont="1" applyFill="1" applyBorder="1" applyAlignment="1" applyProtection="1">
      <alignment horizontal="centerContinuous" vertical="center"/>
      <protection hidden="1"/>
    </xf>
    <xf numFmtId="0" fontId="39" fillId="14" borderId="55" xfId="0" applyFont="1" applyFill="1" applyBorder="1" applyAlignment="1" applyProtection="1">
      <alignment vertical="center"/>
      <protection hidden="1"/>
    </xf>
    <xf numFmtId="164" fontId="39" fillId="14" borderId="26" xfId="0" applyNumberFormat="1" applyFont="1" applyFill="1" applyBorder="1" applyAlignment="1" applyProtection="1">
      <alignment vertical="center"/>
      <protection hidden="1"/>
    </xf>
    <xf numFmtId="2" fontId="39" fillId="14" borderId="26" xfId="0" applyNumberFormat="1" applyFont="1" applyFill="1" applyBorder="1" applyAlignment="1" applyProtection="1">
      <alignment vertical="center"/>
      <protection hidden="1"/>
    </xf>
    <xf numFmtId="0" fontId="39" fillId="14" borderId="26" xfId="0" applyFont="1" applyFill="1" applyBorder="1" applyAlignment="1" applyProtection="1">
      <alignment vertical="center"/>
      <protection hidden="1"/>
    </xf>
    <xf numFmtId="0" fontId="39" fillId="4" borderId="56" xfId="0" applyFont="1" applyFill="1" applyBorder="1" applyAlignment="1" applyProtection="1">
      <alignment vertical="center"/>
      <protection hidden="1"/>
    </xf>
    <xf numFmtId="164" fontId="39" fillId="4" borderId="57" xfId="0" applyNumberFormat="1" applyFont="1" applyFill="1" applyBorder="1" applyAlignment="1" applyProtection="1">
      <alignment vertical="center"/>
      <protection hidden="1"/>
    </xf>
    <xf numFmtId="2" fontId="39" fillId="4" borderId="57" xfId="0" applyNumberFormat="1" applyFont="1" applyFill="1" applyBorder="1" applyAlignment="1" applyProtection="1">
      <alignment vertical="center"/>
      <protection hidden="1"/>
    </xf>
    <xf numFmtId="0" fontId="39" fillId="5" borderId="0" xfId="0" applyFont="1" applyFill="1" applyAlignment="1" applyProtection="1">
      <alignment vertical="center"/>
      <protection hidden="1"/>
    </xf>
    <xf numFmtId="0" fontId="6" fillId="3" borderId="9" xfId="0" applyFont="1" applyFill="1" applyBorder="1"/>
    <xf numFmtId="0" fontId="6" fillId="3" borderId="10" xfId="0" applyFont="1" applyFill="1" applyBorder="1"/>
    <xf numFmtId="0" fontId="6" fillId="3" borderId="58" xfId="0" applyFont="1" applyFill="1" applyBorder="1"/>
    <xf numFmtId="0" fontId="15" fillId="3" borderId="11" xfId="0" applyFont="1" applyFill="1" applyBorder="1"/>
    <xf numFmtId="0" fontId="6" fillId="3" borderId="59" xfId="0" applyFont="1" applyFill="1" applyBorder="1" applyProtection="1">
      <protection locked="0" hidden="1"/>
    </xf>
    <xf numFmtId="0" fontId="15" fillId="3" borderId="60" xfId="0" applyFont="1" applyFill="1" applyBorder="1"/>
    <xf numFmtId="0" fontId="6" fillId="3" borderId="12" xfId="0" applyFont="1" applyFill="1" applyBorder="1"/>
    <xf numFmtId="0" fontId="39" fillId="14" borderId="62" xfId="0" applyFont="1" applyFill="1" applyBorder="1" applyAlignment="1" applyProtection="1">
      <alignment vertical="center"/>
      <protection hidden="1"/>
    </xf>
    <xf numFmtId="0" fontId="40" fillId="2" borderId="63" xfId="0" applyFont="1" applyFill="1" applyBorder="1" applyAlignment="1" applyProtection="1">
      <alignment horizontal="center" vertical="center"/>
      <protection hidden="1"/>
    </xf>
    <xf numFmtId="0" fontId="40" fillId="2" borderId="64" xfId="0" applyFont="1" applyFill="1" applyBorder="1" applyAlignment="1" applyProtection="1">
      <alignment horizontal="centerContinuous" vertical="center"/>
      <protection hidden="1"/>
    </xf>
    <xf numFmtId="2" fontId="41" fillId="14" borderId="26" xfId="0" applyNumberFormat="1" applyFont="1" applyFill="1" applyBorder="1" applyAlignment="1" applyProtection="1">
      <alignment vertical="center"/>
      <protection hidden="1"/>
    </xf>
    <xf numFmtId="0" fontId="0" fillId="15" borderId="0" xfId="0" applyFill="1"/>
    <xf numFmtId="2" fontId="6" fillId="3" borderId="10" xfId="0" applyNumberFormat="1" applyFont="1" applyFill="1" applyBorder="1"/>
    <xf numFmtId="0" fontId="6" fillId="3" borderId="60" xfId="0" applyFont="1" applyFill="1" applyBorder="1"/>
    <xf numFmtId="2" fontId="6" fillId="3" borderId="12" xfId="0" applyNumberFormat="1" applyFont="1" applyFill="1" applyBorder="1"/>
    <xf numFmtId="0" fontId="6" fillId="3" borderId="61" xfId="0" applyFont="1" applyFill="1" applyBorder="1"/>
    <xf numFmtId="0" fontId="3" fillId="0" borderId="0" xfId="1"/>
    <xf numFmtId="0" fontId="8" fillId="0" borderId="0" xfId="1" applyFont="1"/>
    <xf numFmtId="0" fontId="3" fillId="0" borderId="0" xfId="1" applyFont="1"/>
    <xf numFmtId="0" fontId="3" fillId="0" borderId="0" xfId="1" applyFont="1" applyFill="1"/>
    <xf numFmtId="0" fontId="0" fillId="0" borderId="0" xfId="0" applyFont="1" applyFill="1"/>
    <xf numFmtId="2" fontId="0" fillId="0" borderId="0" xfId="0" applyNumberFormat="1"/>
    <xf numFmtId="0" fontId="43" fillId="0" borderId="26" xfId="0" applyFont="1" applyBorder="1"/>
    <xf numFmtId="0" fontId="0" fillId="16" borderId="26" xfId="0" applyFill="1" applyBorder="1"/>
    <xf numFmtId="0" fontId="8" fillId="0" borderId="61" xfId="0" applyFont="1" applyBorder="1"/>
    <xf numFmtId="0" fontId="3" fillId="0" borderId="0" xfId="0" applyFont="1" applyFill="1" applyBorder="1"/>
    <xf numFmtId="2" fontId="0" fillId="0" borderId="26" xfId="0" quotePrefix="1" applyNumberFormat="1" applyBorder="1" applyAlignment="1">
      <alignment horizontal="center"/>
    </xf>
    <xf numFmtId="2" fontId="8" fillId="0" borderId="0" xfId="0" applyNumberFormat="1" applyFont="1" applyAlignment="1">
      <alignment horizontal="center"/>
    </xf>
    <xf numFmtId="2" fontId="8" fillId="0" borderId="0" xfId="0" applyNumberFormat="1" applyFont="1"/>
    <xf numFmtId="0" fontId="23" fillId="5" borderId="0" xfId="0" applyFont="1" applyFill="1"/>
    <xf numFmtId="0" fontId="16" fillId="5" borderId="0" xfId="0" applyFont="1" applyFill="1"/>
    <xf numFmtId="0" fontId="22" fillId="5" borderId="0" xfId="0" applyFont="1" applyFill="1" applyProtection="1">
      <protection hidden="1"/>
    </xf>
    <xf numFmtId="0" fontId="16" fillId="5" borderId="0" xfId="0" applyFont="1" applyFill="1" applyAlignment="1" applyProtection="1">
      <alignment horizontal="center" vertical="center"/>
      <protection hidden="1"/>
    </xf>
    <xf numFmtId="2" fontId="16" fillId="5" borderId="0" xfId="0" applyNumberFormat="1" applyFont="1" applyFill="1" applyAlignment="1" applyProtection="1">
      <alignment horizontal="right" vertical="center"/>
      <protection hidden="1"/>
    </xf>
    <xf numFmtId="2" fontId="3" fillId="5" borderId="0" xfId="0" applyNumberFormat="1" applyFont="1" applyFill="1" applyAlignment="1" applyProtection="1">
      <alignment horizontal="left" vertical="center"/>
      <protection hidden="1"/>
    </xf>
    <xf numFmtId="2" fontId="8" fillId="5" borderId="0" xfId="0" applyNumberFormat="1" applyFont="1" applyFill="1" applyAlignment="1" applyProtection="1">
      <alignment horizontal="right" vertical="center"/>
      <protection hidden="1"/>
    </xf>
    <xf numFmtId="0" fontId="3" fillId="5" borderId="0" xfId="0" applyFont="1" applyFill="1" applyAlignment="1" applyProtection="1">
      <alignment horizontal="left" vertical="center"/>
      <protection hidden="1"/>
    </xf>
    <xf numFmtId="0" fontId="32" fillId="5" borderId="0" xfId="0" applyFont="1" applyFill="1"/>
    <xf numFmtId="0" fontId="36" fillId="5" borderId="0" xfId="0" applyFont="1" applyFill="1" applyAlignment="1">
      <alignment horizontal="center"/>
    </xf>
    <xf numFmtId="0" fontId="44" fillId="5" borderId="0" xfId="0" applyFont="1" applyFill="1" applyAlignment="1">
      <alignment horizontal="center" vertical="center"/>
    </xf>
    <xf numFmtId="0" fontId="3" fillId="5" borderId="0" xfId="0" applyFont="1" applyFill="1"/>
    <xf numFmtId="2" fontId="8" fillId="5" borderId="0" xfId="0" applyNumberFormat="1" applyFont="1" applyFill="1"/>
    <xf numFmtId="0" fontId="36" fillId="17" borderId="0" xfId="0" applyFont="1" applyFill="1" applyAlignment="1">
      <alignment horizontal="center" vertical="center"/>
    </xf>
    <xf numFmtId="0" fontId="0" fillId="17" borderId="0" xfId="0" applyFill="1"/>
    <xf numFmtId="2" fontId="0" fillId="17" borderId="0" xfId="0" applyNumberFormat="1" applyFill="1"/>
    <xf numFmtId="1" fontId="8" fillId="17" borderId="0" xfId="0" applyNumberFormat="1" applyFont="1" applyFill="1"/>
    <xf numFmtId="0" fontId="22" fillId="17" borderId="0" xfId="0" applyFont="1" applyFill="1"/>
    <xf numFmtId="1" fontId="0" fillId="17" borderId="0" xfId="0" applyNumberFormat="1" applyFill="1"/>
    <xf numFmtId="0" fontId="36" fillId="18" borderId="0" xfId="0" applyFont="1" applyFill="1" applyAlignment="1">
      <alignment horizontal="center" vertical="center"/>
    </xf>
    <xf numFmtId="0" fontId="0" fillId="18" borderId="0" xfId="0" applyFill="1"/>
    <xf numFmtId="2" fontId="0" fillId="18" borderId="0" xfId="0" applyNumberFormat="1" applyFill="1"/>
    <xf numFmtId="1" fontId="8" fillId="18" borderId="0" xfId="0" applyNumberFormat="1" applyFont="1" applyFill="1"/>
    <xf numFmtId="0" fontId="22" fillId="18" borderId="0" xfId="0" applyFont="1" applyFill="1"/>
    <xf numFmtId="1" fontId="0" fillId="18" borderId="0" xfId="0" applyNumberFormat="1" applyFill="1"/>
    <xf numFmtId="2" fontId="8" fillId="17" borderId="0" xfId="0" applyNumberFormat="1" applyFont="1" applyFill="1"/>
    <xf numFmtId="2" fontId="8" fillId="18" borderId="0" xfId="0" applyNumberFormat="1" applyFont="1" applyFill="1"/>
    <xf numFmtId="164" fontId="0" fillId="17" borderId="0" xfId="0" applyNumberFormat="1" applyFill="1"/>
    <xf numFmtId="164" fontId="0" fillId="18" borderId="0" xfId="0" applyNumberFormat="1" applyFill="1"/>
    <xf numFmtId="0" fontId="43" fillId="0" borderId="62" xfId="0" applyFont="1" applyBorder="1"/>
    <xf numFmtId="2" fontId="0" fillId="0" borderId="0" xfId="0" applyNumberFormat="1" applyBorder="1"/>
    <xf numFmtId="0" fontId="0" fillId="0" borderId="65" xfId="0" applyBorder="1"/>
    <xf numFmtId="0" fontId="3" fillId="0" borderId="65" xfId="0" applyFont="1" applyBorder="1"/>
    <xf numFmtId="2" fontId="0" fillId="0" borderId="65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164" fontId="8" fillId="17" borderId="0" xfId="0" applyNumberFormat="1" applyFont="1" applyFill="1"/>
    <xf numFmtId="164" fontId="8" fillId="18" borderId="0" xfId="0" applyNumberFormat="1" applyFont="1" applyFill="1"/>
    <xf numFmtId="0" fontId="48" fillId="0" borderId="0" xfId="0" applyFont="1"/>
    <xf numFmtId="0" fontId="49" fillId="0" borderId="0" xfId="0" applyFont="1"/>
    <xf numFmtId="166" fontId="28" fillId="10" borderId="35" xfId="0" applyNumberFormat="1" applyFont="1" applyFill="1" applyBorder="1" applyAlignment="1" applyProtection="1">
      <alignment horizontal="center" vertical="center"/>
      <protection hidden="1"/>
    </xf>
    <xf numFmtId="166" fontId="28" fillId="11" borderId="35" xfId="0" applyNumberFormat="1" applyFont="1" applyFill="1" applyBorder="1" applyAlignment="1" applyProtection="1">
      <alignment horizontal="center" vertical="center"/>
      <protection hidden="1"/>
    </xf>
    <xf numFmtId="0" fontId="0" fillId="0" borderId="26" xfId="0" applyBorder="1"/>
    <xf numFmtId="0" fontId="0" fillId="0" borderId="62" xfId="0" applyBorder="1"/>
    <xf numFmtId="0" fontId="8" fillId="0" borderId="5" xfId="0" applyFont="1" applyBorder="1"/>
    <xf numFmtId="0" fontId="8" fillId="0" borderId="7" xfId="0" applyFont="1" applyBorder="1"/>
    <xf numFmtId="0" fontId="8" fillId="0" borderId="66" xfId="0" applyFont="1" applyBorder="1"/>
    <xf numFmtId="2" fontId="5" fillId="6" borderId="0" xfId="0" applyNumberFormat="1" applyFont="1" applyFill="1" applyBorder="1" applyProtection="1">
      <protection hidden="1"/>
    </xf>
    <xf numFmtId="181" fontId="29" fillId="6" borderId="0" xfId="0" applyNumberFormat="1" applyFont="1" applyFill="1" applyBorder="1" applyAlignment="1" applyProtection="1">
      <alignment horizontal="right"/>
      <protection hidden="1"/>
    </xf>
    <xf numFmtId="0" fontId="5" fillId="6" borderId="67" xfId="0" applyFont="1" applyFill="1" applyBorder="1" applyProtection="1">
      <protection hidden="1"/>
    </xf>
    <xf numFmtId="0" fontId="5" fillId="6" borderId="68" xfId="0" applyFont="1" applyFill="1" applyBorder="1" applyProtection="1">
      <protection hidden="1"/>
    </xf>
    <xf numFmtId="0" fontId="5" fillId="6" borderId="69" xfId="0" applyFont="1" applyFill="1" applyBorder="1" applyProtection="1">
      <protection hidden="1"/>
    </xf>
    <xf numFmtId="0" fontId="5" fillId="6" borderId="70" xfId="0" applyFont="1" applyFill="1" applyBorder="1" applyProtection="1">
      <protection hidden="1"/>
    </xf>
    <xf numFmtId="0" fontId="5" fillId="6" borderId="71" xfId="0" applyFont="1" applyFill="1" applyBorder="1" applyProtection="1">
      <protection hidden="1"/>
    </xf>
    <xf numFmtId="0" fontId="5" fillId="6" borderId="45" xfId="0" applyFont="1" applyFill="1" applyBorder="1" applyProtection="1">
      <protection hidden="1"/>
    </xf>
    <xf numFmtId="0" fontId="5" fillId="6" borderId="43" xfId="0" applyFont="1" applyFill="1" applyBorder="1" applyProtection="1">
      <protection hidden="1"/>
    </xf>
    <xf numFmtId="181" fontId="29" fillId="6" borderId="43" xfId="0" applyNumberFormat="1" applyFont="1" applyFill="1" applyBorder="1" applyProtection="1">
      <protection hidden="1"/>
    </xf>
    <xf numFmtId="0" fontId="5" fillId="6" borderId="72" xfId="0" applyFont="1" applyFill="1" applyBorder="1" applyProtection="1">
      <protection hidden="1"/>
    </xf>
    <xf numFmtId="0" fontId="43" fillId="0" borderId="73" xfId="0" applyFont="1" applyBorder="1"/>
    <xf numFmtId="0" fontId="43" fillId="0" borderId="74" xfId="0" applyFont="1" applyBorder="1"/>
    <xf numFmtId="0" fontId="48" fillId="0" borderId="65" xfId="0" applyFont="1" applyBorder="1"/>
    <xf numFmtId="0" fontId="31" fillId="0" borderId="0" xfId="0" applyFont="1"/>
    <xf numFmtId="0" fontId="31" fillId="0" borderId="0" xfId="1" applyFont="1"/>
    <xf numFmtId="0" fontId="29" fillId="6" borderId="0" xfId="0" applyFont="1" applyFill="1" applyBorder="1" applyAlignment="1" applyProtection="1">
      <alignment horizontal="right"/>
      <protection hidden="1"/>
    </xf>
    <xf numFmtId="0" fontId="29" fillId="6" borderId="0" xfId="0" applyFont="1" applyFill="1" applyBorder="1" applyAlignment="1" applyProtection="1">
      <alignment horizontal="right" vertical="center"/>
      <protection hidden="1"/>
    </xf>
    <xf numFmtId="0" fontId="6" fillId="3" borderId="59" xfId="0" quotePrefix="1" applyFont="1" applyFill="1" applyBorder="1" applyProtection="1">
      <protection locked="0" hidden="1"/>
    </xf>
    <xf numFmtId="0" fontId="6" fillId="3" borderId="61" xfId="0" quotePrefix="1" applyFont="1" applyFill="1" applyBorder="1" applyProtection="1">
      <protection locked="0" hidden="1"/>
    </xf>
    <xf numFmtId="0" fontId="0" fillId="6" borderId="0" xfId="0" applyFill="1" applyBorder="1" applyAlignment="1" applyProtection="1">
      <alignment horizontal="center" vertical="center"/>
      <protection hidden="1"/>
    </xf>
    <xf numFmtId="0" fontId="5" fillId="6" borderId="0" xfId="0" applyFont="1" applyFill="1" applyBorder="1" applyAlignment="1" applyProtection="1">
      <alignment vertical="center"/>
      <protection hidden="1"/>
    </xf>
    <xf numFmtId="0" fontId="51" fillId="6" borderId="0" xfId="0" applyFont="1" applyFill="1" applyBorder="1" applyProtection="1">
      <protection hidden="1"/>
    </xf>
    <xf numFmtId="0" fontId="52" fillId="6" borderId="0" xfId="0" applyFont="1" applyFill="1" applyBorder="1" applyProtection="1">
      <protection hidden="1"/>
    </xf>
    <xf numFmtId="0" fontId="29" fillId="6" borderId="75" xfId="0" applyFont="1" applyFill="1" applyBorder="1" applyProtection="1">
      <protection hidden="1"/>
    </xf>
    <xf numFmtId="0" fontId="29" fillId="6" borderId="76" xfId="0" applyFont="1" applyFill="1" applyBorder="1" applyAlignment="1" applyProtection="1">
      <alignment horizontal="right" vertical="center"/>
      <protection hidden="1"/>
    </xf>
    <xf numFmtId="0" fontId="29" fillId="6" borderId="77" xfId="0" applyFont="1" applyFill="1" applyBorder="1" applyProtection="1">
      <protection hidden="1"/>
    </xf>
    <xf numFmtId="0" fontId="5" fillId="6" borderId="77" xfId="0" applyFont="1" applyFill="1" applyBorder="1" applyAlignment="1" applyProtection="1">
      <alignment vertical="center"/>
      <protection hidden="1"/>
    </xf>
    <xf numFmtId="0" fontId="29" fillId="6" borderId="77" xfId="0" applyFont="1" applyFill="1" applyBorder="1" applyAlignment="1" applyProtection="1">
      <alignment horizontal="left" vertical="center"/>
      <protection hidden="1"/>
    </xf>
    <xf numFmtId="0" fontId="29" fillId="6" borderId="78" xfId="0" applyFont="1" applyFill="1" applyBorder="1" applyProtection="1">
      <protection hidden="1"/>
    </xf>
    <xf numFmtId="0" fontId="0" fillId="6" borderId="79" xfId="0" applyFill="1" applyBorder="1" applyProtection="1">
      <protection hidden="1"/>
    </xf>
    <xf numFmtId="0" fontId="5" fillId="6" borderId="80" xfId="0" applyFont="1" applyFill="1" applyBorder="1" applyProtection="1">
      <protection hidden="1"/>
    </xf>
    <xf numFmtId="0" fontId="5" fillId="6" borderId="81" xfId="0" applyFont="1" applyFill="1" applyBorder="1" applyProtection="1">
      <protection hidden="1"/>
    </xf>
    <xf numFmtId="2" fontId="21" fillId="5" borderId="81" xfId="0" applyNumberFormat="1" applyFont="1" applyFill="1" applyBorder="1" applyProtection="1">
      <protection locked="0" hidden="1"/>
    </xf>
    <xf numFmtId="0" fontId="21" fillId="5" borderId="82" xfId="0" applyFont="1" applyFill="1" applyBorder="1" applyAlignment="1" applyProtection="1">
      <alignment horizontal="right"/>
      <protection locked="0" hidden="1"/>
    </xf>
    <xf numFmtId="0" fontId="3" fillId="5" borderId="83" xfId="0" applyNumberFormat="1" applyFont="1" applyFill="1" applyBorder="1" applyAlignment="1" applyProtection="1">
      <alignment horizontal="left"/>
      <protection hidden="1"/>
    </xf>
    <xf numFmtId="0" fontId="21" fillId="5" borderId="84" xfId="0" applyFont="1" applyFill="1" applyBorder="1" applyAlignment="1" applyProtection="1">
      <alignment horizontal="right"/>
      <protection locked="0" hidden="1"/>
    </xf>
    <xf numFmtId="0" fontId="3" fillId="5" borderId="85" xfId="0" applyFont="1" applyFill="1" applyBorder="1" applyAlignment="1" applyProtection="1">
      <alignment horizontal="left"/>
      <protection hidden="1"/>
    </xf>
    <xf numFmtId="1" fontId="6" fillId="9" borderId="84" xfId="0" applyNumberFormat="1" applyFont="1" applyFill="1" applyBorder="1" applyAlignment="1" applyProtection="1">
      <alignment vertical="center"/>
      <protection hidden="1"/>
    </xf>
    <xf numFmtId="0" fontId="3" fillId="9" borderId="85" xfId="0" applyFont="1" applyFill="1" applyBorder="1" applyAlignment="1" applyProtection="1">
      <alignment horizontal="left" vertical="center"/>
      <protection hidden="1"/>
    </xf>
    <xf numFmtId="0" fontId="21" fillId="5" borderId="84" xfId="0" applyFont="1" applyFill="1" applyBorder="1" applyAlignment="1" applyProtection="1">
      <alignment horizontal="right" vertical="center"/>
      <protection locked="0" hidden="1"/>
    </xf>
    <xf numFmtId="0" fontId="21" fillId="5" borderId="86" xfId="0" applyFont="1" applyFill="1" applyBorder="1" applyAlignment="1" applyProtection="1">
      <alignment horizontal="right"/>
      <protection locked="0" hidden="1"/>
    </xf>
    <xf numFmtId="0" fontId="5" fillId="6" borderId="75" xfId="0" applyFont="1" applyFill="1" applyBorder="1" applyProtection="1">
      <protection hidden="1"/>
    </xf>
    <xf numFmtId="0" fontId="5" fillId="6" borderId="76" xfId="0" applyFont="1" applyFill="1" applyBorder="1" applyProtection="1">
      <protection hidden="1"/>
    </xf>
    <xf numFmtId="1" fontId="6" fillId="9" borderId="82" xfId="0" applyNumberFormat="1" applyFont="1" applyFill="1" applyBorder="1" applyAlignment="1" applyProtection="1">
      <alignment vertical="center"/>
      <protection hidden="1"/>
    </xf>
    <xf numFmtId="0" fontId="3" fillId="9" borderId="88" xfId="0" applyFont="1" applyFill="1" applyBorder="1" applyAlignment="1" applyProtection="1">
      <alignment horizontal="left" vertical="center"/>
      <protection hidden="1"/>
    </xf>
    <xf numFmtId="0" fontId="5" fillId="6" borderId="77" xfId="0" applyFont="1" applyFill="1" applyBorder="1" applyProtection="1">
      <protection hidden="1"/>
    </xf>
    <xf numFmtId="0" fontId="3" fillId="9" borderId="89" xfId="0" applyFont="1" applyFill="1" applyBorder="1" applyAlignment="1" applyProtection="1">
      <alignment horizontal="left" vertical="center"/>
      <protection hidden="1"/>
    </xf>
    <xf numFmtId="0" fontId="5" fillId="6" borderId="78" xfId="0" applyFont="1" applyFill="1" applyBorder="1" applyProtection="1">
      <protection hidden="1"/>
    </xf>
    <xf numFmtId="0" fontId="5" fillId="6" borderId="79" xfId="0" applyFont="1" applyFill="1" applyBorder="1" applyProtection="1">
      <protection hidden="1"/>
    </xf>
    <xf numFmtId="1" fontId="6" fillId="9" borderId="86" xfId="0" applyNumberFormat="1" applyFont="1" applyFill="1" applyBorder="1" applyAlignment="1" applyProtection="1">
      <alignment vertical="center"/>
      <protection hidden="1"/>
    </xf>
    <xf numFmtId="0" fontId="3" fillId="9" borderId="90" xfId="0" applyFont="1" applyFill="1" applyBorder="1" applyAlignment="1" applyProtection="1">
      <alignment horizontal="left" vertical="center"/>
      <protection hidden="1"/>
    </xf>
    <xf numFmtId="166" fontId="53" fillId="6" borderId="68" xfId="0" applyNumberFormat="1" applyFont="1" applyFill="1" applyBorder="1" applyProtection="1">
      <protection hidden="1"/>
    </xf>
    <xf numFmtId="0" fontId="8" fillId="9" borderId="89" xfId="0" applyFont="1" applyFill="1" applyBorder="1" applyAlignment="1" applyProtection="1">
      <alignment horizontal="left" vertical="center"/>
      <protection hidden="1"/>
    </xf>
    <xf numFmtId="1" fontId="6" fillId="9" borderId="84" xfId="0" applyNumberFormat="1" applyFont="1" applyFill="1" applyBorder="1" applyAlignment="1" applyProtection="1">
      <alignment horizontal="right" vertical="center"/>
      <protection hidden="1"/>
    </xf>
    <xf numFmtId="0" fontId="30" fillId="6" borderId="0" xfId="0" applyFont="1" applyFill="1" applyBorder="1" applyProtection="1">
      <protection locked="0" hidden="1"/>
    </xf>
    <xf numFmtId="0" fontId="54" fillId="5" borderId="0" xfId="0" applyFont="1" applyFill="1" applyProtection="1">
      <protection hidden="1"/>
    </xf>
    <xf numFmtId="0" fontId="55" fillId="5" borderId="31" xfId="0" applyFont="1" applyFill="1" applyBorder="1" applyProtection="1">
      <protection hidden="1"/>
    </xf>
    <xf numFmtId="0" fontId="55" fillId="5" borderId="32" xfId="0" applyFont="1" applyFill="1" applyBorder="1" applyProtection="1">
      <protection hidden="1"/>
    </xf>
    <xf numFmtId="0" fontId="55" fillId="5" borderId="0" xfId="0" applyFont="1" applyFill="1" applyProtection="1">
      <protection hidden="1"/>
    </xf>
    <xf numFmtId="0" fontId="55" fillId="5" borderId="33" xfId="0" applyFont="1" applyFill="1" applyBorder="1" applyProtection="1">
      <protection hidden="1"/>
    </xf>
    <xf numFmtId="0" fontId="3" fillId="5" borderId="85" xfId="0" applyFont="1" applyFill="1" applyBorder="1" applyAlignment="1" applyProtection="1">
      <alignment horizontal="left" vertical="center"/>
      <protection hidden="1"/>
    </xf>
    <xf numFmtId="0" fontId="3" fillId="5" borderId="87" xfId="0" applyFont="1" applyFill="1" applyBorder="1" applyAlignment="1" applyProtection="1">
      <alignment horizontal="left"/>
      <protection locked="0" hidden="1"/>
    </xf>
    <xf numFmtId="0" fontId="16" fillId="9" borderId="21" xfId="0" applyFont="1" applyFill="1" applyBorder="1" applyProtection="1">
      <protection hidden="1"/>
    </xf>
    <xf numFmtId="167" fontId="16" fillId="9" borderId="25" xfId="0" applyNumberFormat="1" applyFont="1" applyFill="1" applyBorder="1" applyProtection="1">
      <protection hidden="1"/>
    </xf>
    <xf numFmtId="0" fontId="16" fillId="9" borderId="25" xfId="0" applyFont="1" applyFill="1" applyBorder="1" applyProtection="1">
      <protection hidden="1"/>
    </xf>
    <xf numFmtId="0" fontId="16" fillId="9" borderId="23" xfId="0" applyFont="1" applyFill="1" applyBorder="1" applyProtection="1">
      <protection hidden="1"/>
    </xf>
    <xf numFmtId="166" fontId="16" fillId="9" borderId="0" xfId="0" applyNumberFormat="1" applyFont="1" applyFill="1" applyBorder="1" applyProtection="1">
      <protection hidden="1"/>
    </xf>
    <xf numFmtId="0" fontId="16" fillId="9" borderId="0" xfId="0" applyFont="1" applyFill="1" applyBorder="1" applyProtection="1">
      <protection hidden="1"/>
    </xf>
    <xf numFmtId="169" fontId="16" fillId="9" borderId="14" xfId="0" applyNumberFormat="1" applyFont="1" applyFill="1" applyBorder="1" applyProtection="1">
      <protection hidden="1"/>
    </xf>
    <xf numFmtId="0" fontId="16" fillId="9" borderId="24" xfId="0" applyFont="1" applyFill="1" applyBorder="1" applyProtection="1">
      <protection hidden="1"/>
    </xf>
    <xf numFmtId="180" fontId="16" fillId="9" borderId="16" xfId="0" applyNumberFormat="1" applyFont="1" applyFill="1" applyBorder="1" applyProtection="1">
      <protection hidden="1"/>
    </xf>
    <xf numFmtId="0" fontId="16" fillId="9" borderId="16" xfId="0" applyFont="1" applyFill="1" applyBorder="1" applyProtection="1">
      <protection hidden="1"/>
    </xf>
    <xf numFmtId="178" fontId="8" fillId="9" borderId="22" xfId="0" applyNumberFormat="1" applyFont="1" applyFill="1" applyBorder="1" applyAlignment="1" applyProtection="1">
      <alignment horizontal="right"/>
      <protection hidden="1"/>
    </xf>
    <xf numFmtId="2" fontId="7" fillId="9" borderId="84" xfId="0" applyNumberFormat="1" applyFont="1" applyFill="1" applyBorder="1" applyAlignment="1" applyProtection="1">
      <alignment horizontal="right" vertical="center"/>
      <protection hidden="1"/>
    </xf>
    <xf numFmtId="2" fontId="6" fillId="9" borderId="84" xfId="0" applyNumberFormat="1" applyFont="1" applyFill="1" applyBorder="1" applyAlignment="1" applyProtection="1">
      <alignment horizontal="right" vertical="center"/>
      <protection hidden="1"/>
    </xf>
    <xf numFmtId="175" fontId="8" fillId="9" borderId="17" xfId="0" applyNumberFormat="1" applyFont="1" applyFill="1" applyBorder="1" applyProtection="1">
      <protection hidden="1"/>
    </xf>
    <xf numFmtId="165" fontId="8" fillId="3" borderId="0" xfId="0" applyNumberFormat="1" applyFont="1" applyFill="1" applyBorder="1" applyAlignment="1" applyProtection="1">
      <alignment horizontal="right"/>
      <protection hidden="1"/>
    </xf>
    <xf numFmtId="181" fontId="8" fillId="3" borderId="0" xfId="0" applyNumberFormat="1" applyFont="1" applyFill="1" applyBorder="1" applyAlignment="1" applyProtection="1">
      <alignment horizontal="right"/>
      <protection hidden="1"/>
    </xf>
    <xf numFmtId="171" fontId="8" fillId="3" borderId="0" xfId="0" applyNumberFormat="1" applyFont="1" applyFill="1" applyAlignment="1" applyProtection="1">
      <alignment horizontal="right"/>
      <protection hidden="1"/>
    </xf>
    <xf numFmtId="179" fontId="8" fillId="3" borderId="0" xfId="0" applyNumberFormat="1" applyFont="1" applyFill="1" applyAlignment="1" applyProtection="1">
      <alignment horizontal="right"/>
      <protection hidden="1"/>
    </xf>
    <xf numFmtId="166" fontId="21" fillId="3" borderId="0" xfId="0" applyNumberFormat="1" applyFont="1" applyFill="1" applyBorder="1" applyAlignment="1" applyProtection="1">
      <alignment horizontal="right"/>
      <protection hidden="1"/>
    </xf>
    <xf numFmtId="0" fontId="21" fillId="3" borderId="0" xfId="0" applyFont="1" applyFill="1" applyBorder="1" applyAlignment="1" applyProtection="1">
      <alignment horizontal="right"/>
      <protection hidden="1"/>
    </xf>
    <xf numFmtId="169" fontId="21" fillId="3" borderId="0" xfId="0" applyNumberFormat="1" applyFont="1" applyFill="1" applyBorder="1" applyAlignment="1" applyProtection="1">
      <alignment horizontal="right"/>
      <protection hidden="1"/>
    </xf>
    <xf numFmtId="0" fontId="56" fillId="3" borderId="0" xfId="0" applyFont="1" applyFill="1" applyBorder="1" applyProtection="1">
      <protection hidden="1"/>
    </xf>
    <xf numFmtId="0" fontId="9" fillId="6" borderId="0" xfId="0" applyFont="1" applyFill="1" applyBorder="1" applyAlignment="1" applyProtection="1">
      <alignment horizontal="center"/>
      <protection hidden="1"/>
    </xf>
    <xf numFmtId="0" fontId="10" fillId="6" borderId="0" xfId="0" applyFont="1" applyFill="1" applyBorder="1" applyAlignment="1" applyProtection="1">
      <alignment horizontal="center"/>
      <protection hidden="1"/>
    </xf>
    <xf numFmtId="0" fontId="5" fillId="6" borderId="0" xfId="0" applyFont="1" applyFill="1" applyBorder="1" applyAlignment="1" applyProtection="1">
      <alignment horizontal="center"/>
      <protection hidden="1"/>
    </xf>
    <xf numFmtId="0" fontId="8" fillId="5" borderId="91" xfId="0" applyFont="1" applyFill="1" applyBorder="1" applyAlignment="1" applyProtection="1">
      <alignment horizontal="center"/>
      <protection locked="0" hidden="1"/>
    </xf>
    <xf numFmtId="0" fontId="8" fillId="5" borderId="92" xfId="0" applyFont="1" applyFill="1" applyBorder="1" applyAlignment="1" applyProtection="1">
      <alignment horizontal="center"/>
      <protection locked="0" hidden="1"/>
    </xf>
    <xf numFmtId="169" fontId="5" fillId="6" borderId="0" xfId="0" applyNumberFormat="1" applyFont="1" applyFill="1" applyBorder="1" applyAlignment="1" applyProtection="1">
      <alignment horizontal="center"/>
      <protection hidden="1"/>
    </xf>
  </cellXfs>
  <cellStyles count="4">
    <cellStyle name="Normal" xfId="0" builtinId="0"/>
    <cellStyle name="Normal 2" xfId="1"/>
    <cellStyle name="Normal 3" xfId="2"/>
    <cellStyle name="Normal 4" xfId="3"/>
  </cellStyles>
  <dxfs count="9">
    <dxf>
      <fill>
        <patternFill>
          <bgColor rgb="FFFF0000"/>
        </patternFill>
      </fill>
    </dxf>
    <dxf>
      <fill>
        <patternFill>
          <bgColor theme="4" tint="-0.499984740745262"/>
        </patternFill>
      </fill>
      <border>
        <left/>
        <right/>
        <bottom/>
      </border>
    </dxf>
    <dxf>
      <font>
        <b val="0"/>
        <i/>
        <color rgb="FFFF0000"/>
      </font>
    </dxf>
    <dxf>
      <fill>
        <patternFill>
          <bgColor theme="4" tint="0.59996337778862885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8</xdr:col>
      <xdr:colOff>0</xdr:colOff>
      <xdr:row>25</xdr:row>
      <xdr:rowOff>9525</xdr:rowOff>
    </xdr:to>
    <xdr:pic>
      <xdr:nvPicPr>
        <xdr:cNvPr id="2016" name="Grafik 6" descr="Haeusler_MG_0867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086475" cy="4039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251658</xdr:colOff>
      <xdr:row>18</xdr:row>
      <xdr:rowOff>37423</xdr:rowOff>
    </xdr:from>
    <xdr:ext cx="5513166" cy="683546"/>
    <xdr:sp macro="" textlink="" fLocksText="0">
      <xdr:nvSpPr>
        <xdr:cNvPr id="6" name="Rechteck 5"/>
        <xdr:cNvSpPr/>
      </xdr:nvSpPr>
      <xdr:spPr>
        <a:xfrm>
          <a:off x="251658" y="2938885"/>
          <a:ext cx="5513166" cy="683546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de-AT" sz="3200" b="1" kern="10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Arial Black"/>
            </a:rPr>
            <a:t>QUICK CALC AB - (BA)</a:t>
          </a:r>
        </a:p>
        <a:p>
          <a:pPr algn="ctr">
            <a:lnSpc>
              <a:spcPts val="2100"/>
            </a:lnSpc>
          </a:pPr>
          <a:r>
            <a:rPr lang="de-AT" sz="1600" b="1" kern="10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Arial Black"/>
            </a:rPr>
            <a:t>V.</a:t>
          </a:r>
          <a:r>
            <a:rPr lang="de-AT" sz="1600" b="1" kern="10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Arial Black"/>
            </a:rPr>
            <a:t> 9.02</a:t>
          </a:r>
          <a:endParaRPr lang="de-AT" sz="16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 editAs="oneCell">
    <xdr:from>
      <xdr:col>4</xdr:col>
      <xdr:colOff>666750</xdr:colOff>
      <xdr:row>0</xdr:row>
      <xdr:rowOff>47625</xdr:rowOff>
    </xdr:from>
    <xdr:to>
      <xdr:col>7</xdr:col>
      <xdr:colOff>523875</xdr:colOff>
      <xdr:row>6</xdr:row>
      <xdr:rowOff>47625</xdr:rowOff>
    </xdr:to>
    <xdr:pic>
      <xdr:nvPicPr>
        <xdr:cNvPr id="2018" name="Grafik 8" descr="Thermaflex_4c.pn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47625"/>
          <a:ext cx="21431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3</xdr:row>
      <xdr:rowOff>152400</xdr:rowOff>
    </xdr:from>
    <xdr:to>
      <xdr:col>2</xdr:col>
      <xdr:colOff>514350</xdr:colOff>
      <xdr:row>5</xdr:row>
      <xdr:rowOff>123825</xdr:rowOff>
    </xdr:to>
    <xdr:pic>
      <xdr:nvPicPr>
        <xdr:cNvPr id="2020" name="Grafik 10" descr="Flexalen_without_4c_pn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3694">
          <a:off x="304800" y="638175"/>
          <a:ext cx="1733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514351</xdr:colOff>
      <xdr:row>10</xdr:row>
      <xdr:rowOff>104775</xdr:rowOff>
    </xdr:from>
    <xdr:to>
      <xdr:col>12</xdr:col>
      <xdr:colOff>85726</xdr:colOff>
      <xdr:row>19</xdr:row>
      <xdr:rowOff>85725</xdr:rowOff>
    </xdr:to>
    <xdr:sp macro="" textlink="">
      <xdr:nvSpPr>
        <xdr:cNvPr id="11751" name="Rectangle 7"/>
        <xdr:cNvSpPr>
          <a:spLocks noChangeArrowheads="1"/>
        </xdr:cNvSpPr>
      </xdr:nvSpPr>
      <xdr:spPr bwMode="auto">
        <a:xfrm>
          <a:off x="5200651" y="1943100"/>
          <a:ext cx="5581650" cy="1714500"/>
        </a:xfrm>
        <a:prstGeom prst="rect">
          <a:avLst/>
        </a:prstGeom>
        <a:noFill/>
        <a:ln w="1714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228600</xdr:colOff>
      <xdr:row>14</xdr:row>
      <xdr:rowOff>38100</xdr:rowOff>
    </xdr:from>
    <xdr:to>
      <xdr:col>11</xdr:col>
      <xdr:colOff>847725</xdr:colOff>
      <xdr:row>17</xdr:row>
      <xdr:rowOff>161925</xdr:rowOff>
    </xdr:to>
    <xdr:sp macro="" textlink="">
      <xdr:nvSpPr>
        <xdr:cNvPr id="11752" name="Zeichnung 2"/>
        <xdr:cNvSpPr>
          <a:spLocks/>
        </xdr:cNvSpPr>
      </xdr:nvSpPr>
      <xdr:spPr bwMode="auto">
        <a:xfrm>
          <a:off x="9477375" y="2762250"/>
          <a:ext cx="619125" cy="638175"/>
        </a:xfrm>
        <a:custGeom>
          <a:avLst/>
          <a:gdLst>
            <a:gd name="T0" fmla="*/ 0 w 16384"/>
            <a:gd name="T1" fmla="*/ 2147483647 h 16384"/>
            <a:gd name="T2" fmla="*/ 0 w 16384"/>
            <a:gd name="T3" fmla="*/ 0 h 16384"/>
            <a:gd name="T4" fmla="*/ 2147483647 w 16384"/>
            <a:gd name="T5" fmla="*/ 0 h 16384"/>
            <a:gd name="T6" fmla="*/ 0 w 16384"/>
            <a:gd name="T7" fmla="*/ 2147483647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0" y="16384"/>
              </a:moveTo>
              <a:lnTo>
                <a:pt x="0" y="0"/>
              </a:lnTo>
              <a:lnTo>
                <a:pt x="16384" y="0"/>
              </a:lnTo>
              <a:lnTo>
                <a:pt x="0" y="16384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11</xdr:col>
      <xdr:colOff>238124</xdr:colOff>
      <xdr:row>14</xdr:row>
      <xdr:rowOff>47626</xdr:rowOff>
    </xdr:from>
    <xdr:to>
      <xdr:col>11</xdr:col>
      <xdr:colOff>838199</xdr:colOff>
      <xdr:row>17</xdr:row>
      <xdr:rowOff>161926</xdr:rowOff>
    </xdr:to>
    <xdr:sp macro="" textlink="">
      <xdr:nvSpPr>
        <xdr:cNvPr id="11753" name="Zeichnung 4"/>
        <xdr:cNvSpPr>
          <a:spLocks/>
        </xdr:cNvSpPr>
      </xdr:nvSpPr>
      <xdr:spPr bwMode="auto">
        <a:xfrm>
          <a:off x="9925049" y="2828926"/>
          <a:ext cx="600075" cy="685800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0 h 16384"/>
            <a:gd name="T6" fmla="*/ 0 w 16384"/>
            <a:gd name="T7" fmla="*/ 2147483647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0" y="16384"/>
              </a:moveTo>
              <a:lnTo>
                <a:pt x="16384" y="16384"/>
              </a:lnTo>
              <a:lnTo>
                <a:pt x="16384" y="0"/>
              </a:lnTo>
              <a:lnTo>
                <a:pt x="0" y="16384"/>
              </a:lnTo>
              <a:close/>
            </a:path>
          </a:pathLst>
        </a:custGeom>
        <a:solidFill>
          <a:srgbClr val="8080FF"/>
        </a:solidFill>
        <a:ln w="9525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7</xdr:col>
      <xdr:colOff>76200</xdr:colOff>
      <xdr:row>18</xdr:row>
      <xdr:rowOff>104775</xdr:rowOff>
    </xdr:from>
    <xdr:to>
      <xdr:col>8</xdr:col>
      <xdr:colOff>428625</xdr:colOff>
      <xdr:row>18</xdr:row>
      <xdr:rowOff>104775</xdr:rowOff>
    </xdr:to>
    <xdr:sp macro="" textlink="">
      <xdr:nvSpPr>
        <xdr:cNvPr id="11754" name="Line 5"/>
        <xdr:cNvSpPr>
          <a:spLocks noChangeShapeType="1"/>
        </xdr:cNvSpPr>
      </xdr:nvSpPr>
      <xdr:spPr bwMode="auto">
        <a:xfrm flipH="1">
          <a:off x="6448425" y="3657600"/>
          <a:ext cx="1114425" cy="0"/>
        </a:xfrm>
        <a:prstGeom prst="line">
          <a:avLst/>
        </a:prstGeom>
        <a:noFill/>
        <a:ln w="1">
          <a:solidFill>
            <a:srgbClr val="FFFF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485775</xdr:colOff>
      <xdr:row>18</xdr:row>
      <xdr:rowOff>104775</xdr:rowOff>
    </xdr:from>
    <xdr:to>
      <xdr:col>10</xdr:col>
      <xdr:colOff>809625</xdr:colOff>
      <xdr:row>18</xdr:row>
      <xdr:rowOff>104775</xdr:rowOff>
    </xdr:to>
    <xdr:sp macro="" textlink="">
      <xdr:nvSpPr>
        <xdr:cNvPr id="11755" name="Line 6"/>
        <xdr:cNvSpPr>
          <a:spLocks noChangeShapeType="1"/>
        </xdr:cNvSpPr>
      </xdr:nvSpPr>
      <xdr:spPr bwMode="auto">
        <a:xfrm>
          <a:off x="8420100" y="3657600"/>
          <a:ext cx="1095375" cy="0"/>
        </a:xfrm>
        <a:prstGeom prst="line">
          <a:avLst/>
        </a:prstGeom>
        <a:noFill/>
        <a:ln w="1">
          <a:solidFill>
            <a:srgbClr val="FFFF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161925</xdr:colOff>
      <xdr:row>1</xdr:row>
      <xdr:rowOff>85725</xdr:rowOff>
    </xdr:from>
    <xdr:to>
      <xdr:col>12</xdr:col>
      <xdr:colOff>85725</xdr:colOff>
      <xdr:row>6</xdr:row>
      <xdr:rowOff>0</xdr:rowOff>
    </xdr:to>
    <xdr:sp macro="" textlink="">
      <xdr:nvSpPr>
        <xdr:cNvPr id="11759" name="Rectangle 12"/>
        <xdr:cNvSpPr>
          <a:spLocks noChangeArrowheads="1"/>
        </xdr:cNvSpPr>
      </xdr:nvSpPr>
      <xdr:spPr bwMode="auto">
        <a:xfrm>
          <a:off x="161925" y="238125"/>
          <a:ext cx="10258425" cy="895350"/>
        </a:xfrm>
        <a:prstGeom prst="rect">
          <a:avLst/>
        </a:prstGeom>
        <a:noFill/>
        <a:ln w="1714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514351</xdr:colOff>
      <xdr:row>19</xdr:row>
      <xdr:rowOff>85725</xdr:rowOff>
    </xdr:from>
    <xdr:to>
      <xdr:col>12</xdr:col>
      <xdr:colOff>85726</xdr:colOff>
      <xdr:row>23</xdr:row>
      <xdr:rowOff>85725</xdr:rowOff>
    </xdr:to>
    <xdr:sp macro="" textlink="">
      <xdr:nvSpPr>
        <xdr:cNvPr id="11760" name="Rectangle 15"/>
        <xdr:cNvSpPr>
          <a:spLocks noChangeArrowheads="1"/>
        </xdr:cNvSpPr>
      </xdr:nvSpPr>
      <xdr:spPr bwMode="auto">
        <a:xfrm>
          <a:off x="5200651" y="3657600"/>
          <a:ext cx="5581650" cy="676275"/>
        </a:xfrm>
        <a:prstGeom prst="rect">
          <a:avLst/>
        </a:prstGeom>
        <a:noFill/>
        <a:ln w="1714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514350</xdr:colOff>
      <xdr:row>6</xdr:row>
      <xdr:rowOff>76200</xdr:rowOff>
    </xdr:from>
    <xdr:to>
      <xdr:col>12</xdr:col>
      <xdr:colOff>85724</xdr:colOff>
      <xdr:row>10</xdr:row>
      <xdr:rowOff>104775</xdr:rowOff>
    </xdr:to>
    <xdr:sp macro="" textlink="">
      <xdr:nvSpPr>
        <xdr:cNvPr id="11761" name="Rectangle 16"/>
        <xdr:cNvSpPr>
          <a:spLocks noChangeArrowheads="1"/>
        </xdr:cNvSpPr>
      </xdr:nvSpPr>
      <xdr:spPr bwMode="auto">
        <a:xfrm>
          <a:off x="5200650" y="1209675"/>
          <a:ext cx="5581649" cy="733425"/>
        </a:xfrm>
        <a:prstGeom prst="rect">
          <a:avLst/>
        </a:prstGeom>
        <a:noFill/>
        <a:ln w="1714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161925</xdr:colOff>
      <xdr:row>6</xdr:row>
      <xdr:rowOff>76200</xdr:rowOff>
    </xdr:from>
    <xdr:to>
      <xdr:col>5</xdr:col>
      <xdr:colOff>457200</xdr:colOff>
      <xdr:row>28</xdr:row>
      <xdr:rowOff>85725</xdr:rowOff>
    </xdr:to>
    <xdr:sp macro="" textlink="">
      <xdr:nvSpPr>
        <xdr:cNvPr id="11762" name="Rectangle 25"/>
        <xdr:cNvSpPr>
          <a:spLocks noChangeArrowheads="1"/>
        </xdr:cNvSpPr>
      </xdr:nvSpPr>
      <xdr:spPr bwMode="auto">
        <a:xfrm>
          <a:off x="161925" y="1209675"/>
          <a:ext cx="4981575" cy="4133850"/>
        </a:xfrm>
        <a:prstGeom prst="rect">
          <a:avLst/>
        </a:prstGeom>
        <a:noFill/>
        <a:ln w="1714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152400</xdr:colOff>
      <xdr:row>28</xdr:row>
      <xdr:rowOff>142875</xdr:rowOff>
    </xdr:from>
    <xdr:to>
      <xdr:col>5</xdr:col>
      <xdr:colOff>457200</xdr:colOff>
      <xdr:row>33</xdr:row>
      <xdr:rowOff>104775</xdr:rowOff>
    </xdr:to>
    <xdr:sp macro="" textlink="">
      <xdr:nvSpPr>
        <xdr:cNvPr id="11763" name="Rectangle 25"/>
        <xdr:cNvSpPr>
          <a:spLocks noChangeArrowheads="1"/>
        </xdr:cNvSpPr>
      </xdr:nvSpPr>
      <xdr:spPr bwMode="auto">
        <a:xfrm>
          <a:off x="152400" y="5400675"/>
          <a:ext cx="4991100" cy="1238250"/>
        </a:xfrm>
        <a:prstGeom prst="rect">
          <a:avLst/>
        </a:prstGeom>
        <a:noFill/>
        <a:ln w="1714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</xdr:row>
          <xdr:rowOff>0</xdr:rowOff>
        </xdr:from>
        <xdr:to>
          <xdr:col>5</xdr:col>
          <xdr:colOff>9525</xdr:colOff>
          <xdr:row>8</xdr:row>
          <xdr:rowOff>9525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28575</xdr:rowOff>
        </xdr:from>
        <xdr:to>
          <xdr:col>5</xdr:col>
          <xdr:colOff>9525</xdr:colOff>
          <xdr:row>9</xdr:row>
          <xdr:rowOff>66675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OO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66674</xdr:colOff>
      <xdr:row>7</xdr:row>
      <xdr:rowOff>28575</xdr:rowOff>
    </xdr:from>
    <xdr:to>
      <xdr:col>5</xdr:col>
      <xdr:colOff>390525</xdr:colOff>
      <xdr:row>9</xdr:row>
      <xdr:rowOff>0</xdr:rowOff>
    </xdr:to>
    <xdr:sp macro="" textlink="">
      <xdr:nvSpPr>
        <xdr:cNvPr id="3" name="Oval 2"/>
        <xdr:cNvSpPr/>
      </xdr:nvSpPr>
      <xdr:spPr bwMode="auto">
        <a:xfrm>
          <a:off x="4752974" y="1333500"/>
          <a:ext cx="323851" cy="304800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 sz="1200" b="1"/>
            <a:t>1</a:t>
          </a:r>
        </a:p>
      </xdr:txBody>
    </xdr:sp>
    <xdr:clientData/>
  </xdr:twoCellAnchor>
  <xdr:twoCellAnchor>
    <xdr:from>
      <xdr:col>5</xdr:col>
      <xdr:colOff>66675</xdr:colOff>
      <xdr:row>10</xdr:row>
      <xdr:rowOff>9525</xdr:rowOff>
    </xdr:from>
    <xdr:to>
      <xdr:col>5</xdr:col>
      <xdr:colOff>390526</xdr:colOff>
      <xdr:row>11</xdr:row>
      <xdr:rowOff>95250</xdr:rowOff>
    </xdr:to>
    <xdr:sp macro="" textlink="">
      <xdr:nvSpPr>
        <xdr:cNvPr id="19" name="Oval 18"/>
        <xdr:cNvSpPr/>
      </xdr:nvSpPr>
      <xdr:spPr bwMode="auto">
        <a:xfrm>
          <a:off x="4752975" y="1819275"/>
          <a:ext cx="323851" cy="29527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 sz="1200" b="1"/>
            <a:t>2</a:t>
          </a:r>
        </a:p>
      </xdr:txBody>
    </xdr:sp>
    <xdr:clientData/>
  </xdr:twoCellAnchor>
  <xdr:twoCellAnchor>
    <xdr:from>
      <xdr:col>5</xdr:col>
      <xdr:colOff>28575</xdr:colOff>
      <xdr:row>28</xdr:row>
      <xdr:rowOff>171451</xdr:rowOff>
    </xdr:from>
    <xdr:to>
      <xdr:col>5</xdr:col>
      <xdr:colOff>352426</xdr:colOff>
      <xdr:row>30</xdr:row>
      <xdr:rowOff>95251</xdr:rowOff>
    </xdr:to>
    <xdr:sp macro="" textlink="">
      <xdr:nvSpPr>
        <xdr:cNvPr id="20" name="Oval 19"/>
        <xdr:cNvSpPr/>
      </xdr:nvSpPr>
      <xdr:spPr bwMode="auto">
        <a:xfrm>
          <a:off x="4714875" y="5429251"/>
          <a:ext cx="323851" cy="304800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 sz="1200" b="1"/>
            <a:t>4</a:t>
          </a:r>
        </a:p>
      </xdr:txBody>
    </xdr:sp>
    <xdr:clientData/>
  </xdr:twoCellAnchor>
  <xdr:twoCellAnchor>
    <xdr:from>
      <xdr:col>5</xdr:col>
      <xdr:colOff>76200</xdr:colOff>
      <xdr:row>16</xdr:row>
      <xdr:rowOff>114301</xdr:rowOff>
    </xdr:from>
    <xdr:to>
      <xdr:col>5</xdr:col>
      <xdr:colOff>381000</xdr:colOff>
      <xdr:row>18</xdr:row>
      <xdr:rowOff>57151</xdr:rowOff>
    </xdr:to>
    <xdr:sp macro="" textlink="">
      <xdr:nvSpPr>
        <xdr:cNvPr id="24" name="Oval 23"/>
        <xdr:cNvSpPr/>
      </xdr:nvSpPr>
      <xdr:spPr bwMode="auto">
        <a:xfrm>
          <a:off x="4762500" y="3295651"/>
          <a:ext cx="304800" cy="304800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 sz="1200" b="1"/>
            <a:t>3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5</xdr:row>
      <xdr:rowOff>123825</xdr:rowOff>
    </xdr:from>
    <xdr:to>
      <xdr:col>7</xdr:col>
      <xdr:colOff>190500</xdr:colOff>
      <xdr:row>20</xdr:row>
      <xdr:rowOff>114300</xdr:rowOff>
    </xdr:to>
    <xdr:sp macro="" textlink="">
      <xdr:nvSpPr>
        <xdr:cNvPr id="10862" name="Rectangle 1"/>
        <xdr:cNvSpPr>
          <a:spLocks noChangeArrowheads="1"/>
        </xdr:cNvSpPr>
      </xdr:nvSpPr>
      <xdr:spPr bwMode="auto">
        <a:xfrm>
          <a:off x="114300" y="1123950"/>
          <a:ext cx="5534025" cy="2819400"/>
        </a:xfrm>
        <a:prstGeom prst="rect">
          <a:avLst/>
        </a:prstGeom>
        <a:noFill/>
        <a:ln w="1714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142875</xdr:colOff>
      <xdr:row>14</xdr:row>
      <xdr:rowOff>161925</xdr:rowOff>
    </xdr:from>
    <xdr:to>
      <xdr:col>6</xdr:col>
      <xdr:colOff>762000</xdr:colOff>
      <xdr:row>18</xdr:row>
      <xdr:rowOff>114300</xdr:rowOff>
    </xdr:to>
    <xdr:sp macro="" textlink="">
      <xdr:nvSpPr>
        <xdr:cNvPr id="10863" name="Zeichnung 2"/>
        <xdr:cNvSpPr>
          <a:spLocks/>
        </xdr:cNvSpPr>
      </xdr:nvSpPr>
      <xdr:spPr bwMode="auto">
        <a:xfrm>
          <a:off x="4667250" y="2962275"/>
          <a:ext cx="619125" cy="647700"/>
        </a:xfrm>
        <a:custGeom>
          <a:avLst/>
          <a:gdLst>
            <a:gd name="T0" fmla="*/ 0 w 16384"/>
            <a:gd name="T1" fmla="*/ 2147483647 h 16384"/>
            <a:gd name="T2" fmla="*/ 0 w 16384"/>
            <a:gd name="T3" fmla="*/ 0 h 16384"/>
            <a:gd name="T4" fmla="*/ 2147483647 w 16384"/>
            <a:gd name="T5" fmla="*/ 0 h 16384"/>
            <a:gd name="T6" fmla="*/ 0 w 16384"/>
            <a:gd name="T7" fmla="*/ 2147483647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0" y="16384"/>
              </a:moveTo>
              <a:lnTo>
                <a:pt x="0" y="0"/>
              </a:lnTo>
              <a:lnTo>
                <a:pt x="16384" y="0"/>
              </a:lnTo>
              <a:lnTo>
                <a:pt x="0" y="16384"/>
              </a:lnTo>
              <a:close/>
            </a:path>
          </a:pathLst>
        </a:custGeom>
        <a:solidFill>
          <a:srgbClr val="C0C0C0"/>
        </a:solidFill>
        <a:ln w="9525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142875</xdr:colOff>
      <xdr:row>14</xdr:row>
      <xdr:rowOff>161925</xdr:rowOff>
    </xdr:from>
    <xdr:to>
      <xdr:col>6</xdr:col>
      <xdr:colOff>771525</xdr:colOff>
      <xdr:row>18</xdr:row>
      <xdr:rowOff>114300</xdr:rowOff>
    </xdr:to>
    <xdr:sp macro="" textlink="">
      <xdr:nvSpPr>
        <xdr:cNvPr id="10864" name="Zeichnung 3"/>
        <xdr:cNvSpPr>
          <a:spLocks/>
        </xdr:cNvSpPr>
      </xdr:nvSpPr>
      <xdr:spPr bwMode="auto">
        <a:xfrm>
          <a:off x="4667250" y="2962275"/>
          <a:ext cx="628650" cy="647700"/>
        </a:xfrm>
        <a:custGeom>
          <a:avLst/>
          <a:gdLst>
            <a:gd name="T0" fmla="*/ 0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0 h 16384"/>
            <a:gd name="T6" fmla="*/ 0 w 16384"/>
            <a:gd name="T7" fmla="*/ 2147483647 h 16384"/>
            <a:gd name="T8" fmla="*/ 0 60000 65536"/>
            <a:gd name="T9" fmla="*/ 0 60000 65536"/>
            <a:gd name="T10" fmla="*/ 0 60000 65536"/>
            <a:gd name="T11" fmla="*/ 0 60000 65536"/>
            <a:gd name="T12" fmla="*/ 0 w 16384"/>
            <a:gd name="T13" fmla="*/ 0 h 16384"/>
            <a:gd name="T14" fmla="*/ 16384 w 16384"/>
            <a:gd name="T15" fmla="*/ 16384 h 16384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16384" h="16384">
              <a:moveTo>
                <a:pt x="0" y="16384"/>
              </a:moveTo>
              <a:lnTo>
                <a:pt x="16384" y="16384"/>
              </a:lnTo>
              <a:lnTo>
                <a:pt x="16384" y="0"/>
              </a:lnTo>
              <a:lnTo>
                <a:pt x="0" y="16384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7</xdr:col>
      <xdr:colOff>723900</xdr:colOff>
      <xdr:row>5</xdr:row>
      <xdr:rowOff>123825</xdr:rowOff>
    </xdr:from>
    <xdr:to>
      <xdr:col>11</xdr:col>
      <xdr:colOff>276225</xdr:colOff>
      <xdr:row>29</xdr:row>
      <xdr:rowOff>9525</xdr:rowOff>
    </xdr:to>
    <xdr:sp macro="" textlink="">
      <xdr:nvSpPr>
        <xdr:cNvPr id="10865" name="Rectangle 6"/>
        <xdr:cNvSpPr>
          <a:spLocks noChangeArrowheads="1"/>
        </xdr:cNvSpPr>
      </xdr:nvSpPr>
      <xdr:spPr bwMode="auto">
        <a:xfrm>
          <a:off x="6181725" y="1123950"/>
          <a:ext cx="3562350" cy="4286250"/>
        </a:xfrm>
        <a:prstGeom prst="rect">
          <a:avLst/>
        </a:prstGeom>
        <a:noFill/>
        <a:ln w="1714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114300</xdr:colOff>
      <xdr:row>0</xdr:row>
      <xdr:rowOff>114300</xdr:rowOff>
    </xdr:from>
    <xdr:to>
      <xdr:col>11</xdr:col>
      <xdr:colOff>266700</xdr:colOff>
      <xdr:row>4</xdr:row>
      <xdr:rowOff>152400</xdr:rowOff>
    </xdr:to>
    <xdr:sp macro="" textlink="">
      <xdr:nvSpPr>
        <xdr:cNvPr id="10866" name="Rectangle 11"/>
        <xdr:cNvSpPr>
          <a:spLocks noChangeArrowheads="1"/>
        </xdr:cNvSpPr>
      </xdr:nvSpPr>
      <xdr:spPr bwMode="auto">
        <a:xfrm>
          <a:off x="114300" y="114300"/>
          <a:ext cx="9620250" cy="876300"/>
        </a:xfrm>
        <a:prstGeom prst="rect">
          <a:avLst/>
        </a:prstGeom>
        <a:noFill/>
        <a:ln w="1714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495300</xdr:colOff>
      <xdr:row>19</xdr:row>
      <xdr:rowOff>123825</xdr:rowOff>
    </xdr:from>
    <xdr:to>
      <xdr:col>5</xdr:col>
      <xdr:colOff>752475</xdr:colOff>
      <xdr:row>19</xdr:row>
      <xdr:rowOff>123825</xdr:rowOff>
    </xdr:to>
    <xdr:sp macro="" textlink="">
      <xdr:nvSpPr>
        <xdr:cNvPr id="10867" name="Line 13"/>
        <xdr:cNvSpPr>
          <a:spLocks noChangeShapeType="1"/>
        </xdr:cNvSpPr>
      </xdr:nvSpPr>
      <xdr:spPr bwMode="auto">
        <a:xfrm>
          <a:off x="3305175" y="3781425"/>
          <a:ext cx="120967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19</xdr:row>
      <xdr:rowOff>123825</xdr:rowOff>
    </xdr:from>
    <xdr:to>
      <xdr:col>3</xdr:col>
      <xdr:colOff>419100</xdr:colOff>
      <xdr:row>19</xdr:row>
      <xdr:rowOff>123825</xdr:rowOff>
    </xdr:to>
    <xdr:sp macro="" textlink="">
      <xdr:nvSpPr>
        <xdr:cNvPr id="10868" name="Line 14"/>
        <xdr:cNvSpPr>
          <a:spLocks noChangeShapeType="1"/>
        </xdr:cNvSpPr>
      </xdr:nvSpPr>
      <xdr:spPr bwMode="auto">
        <a:xfrm flipH="1">
          <a:off x="1190625" y="3781425"/>
          <a:ext cx="127635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21</xdr:row>
      <xdr:rowOff>1</xdr:rowOff>
    </xdr:from>
    <xdr:to>
      <xdr:col>7</xdr:col>
      <xdr:colOff>200025</xdr:colOff>
      <xdr:row>32</xdr:row>
      <xdr:rowOff>57150</xdr:rowOff>
    </xdr:to>
    <xdr:sp macro="" textlink="">
      <xdr:nvSpPr>
        <xdr:cNvPr id="10869" name="Rectangle 15"/>
        <xdr:cNvSpPr>
          <a:spLocks noChangeArrowheads="1"/>
        </xdr:cNvSpPr>
      </xdr:nvSpPr>
      <xdr:spPr bwMode="auto">
        <a:xfrm>
          <a:off x="123825" y="4029076"/>
          <a:ext cx="5534025" cy="19716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 b="1"/>
            <a:t>NOTES</a:t>
          </a:r>
          <a:r>
            <a:rPr lang="en-US"/>
            <a:t>:</a:t>
          </a:r>
        </a:p>
      </xdr:txBody>
    </xdr:sp>
    <xdr:clientData/>
  </xdr:twoCellAnchor>
  <xdr:oneCellAnchor>
    <xdr:from>
      <xdr:col>5</xdr:col>
      <xdr:colOff>47625</xdr:colOff>
      <xdr:row>24</xdr:row>
      <xdr:rowOff>133350</xdr:rowOff>
    </xdr:from>
    <xdr:ext cx="184731" cy="264560"/>
    <xdr:sp macro="" textlink="" fLocksText="0">
      <xdr:nvSpPr>
        <xdr:cNvPr id="10" name="Textfeld 9"/>
        <xdr:cNvSpPr txBox="1"/>
      </xdr:nvSpPr>
      <xdr:spPr>
        <a:xfrm>
          <a:off x="3810000" y="46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>
    <xdr:from>
      <xdr:col>7</xdr:col>
      <xdr:colOff>723900</xdr:colOff>
      <xdr:row>29</xdr:row>
      <xdr:rowOff>95250</xdr:rowOff>
    </xdr:from>
    <xdr:to>
      <xdr:col>11</xdr:col>
      <xdr:colOff>276225</xdr:colOff>
      <xdr:row>32</xdr:row>
      <xdr:rowOff>57150</xdr:rowOff>
    </xdr:to>
    <xdr:sp macro="" textlink="">
      <xdr:nvSpPr>
        <xdr:cNvPr id="11" name="Rectangle 6"/>
        <xdr:cNvSpPr>
          <a:spLocks noChangeArrowheads="1"/>
        </xdr:cNvSpPr>
      </xdr:nvSpPr>
      <xdr:spPr bwMode="auto">
        <a:xfrm>
          <a:off x="6181725" y="5495925"/>
          <a:ext cx="3562350" cy="504825"/>
        </a:xfrm>
        <a:prstGeom prst="rect">
          <a:avLst/>
        </a:prstGeom>
        <a:noFill/>
        <a:ln w="1714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10</xdr:row>
          <xdr:rowOff>133350</xdr:rowOff>
        </xdr:from>
        <xdr:to>
          <xdr:col>6</xdr:col>
          <xdr:colOff>314325</xdr:colOff>
          <xdr:row>12</xdr:row>
          <xdr:rowOff>47625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13</xdr:row>
          <xdr:rowOff>9525</xdr:rowOff>
        </xdr:from>
        <xdr:to>
          <xdr:col>6</xdr:col>
          <xdr:colOff>323850</xdr:colOff>
          <xdr:row>14</xdr:row>
          <xdr:rowOff>85725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104775</xdr:rowOff>
        </xdr:from>
        <xdr:to>
          <xdr:col>14</xdr:col>
          <xdr:colOff>104775</xdr:colOff>
          <xdr:row>1</xdr:row>
          <xdr:rowOff>123825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kus Thuernbeck" refreshedDate="40665.640688657404" createdVersion="4" refreshedVersion="4" minRefreshableVersion="3" recordCount="85">
  <cacheSource type="worksheet">
    <worksheetSource ref="A3:I88" sheet="PARAMETER_HL"/>
  </cacheSource>
  <cacheFields count="8">
    <cacheField name="O.D. [mm]" numFmtId="0">
      <sharedItems containsSemiMixedTypes="0" containsString="0" containsNumber="1" containsInteger="1" minValue="16" maxValue="225" count="14">
        <n v="16"/>
        <n v="20"/>
        <n v="25"/>
        <n v="32"/>
        <n v="40"/>
        <n v="50"/>
        <n v="63"/>
        <n v="75"/>
        <n v="90"/>
        <n v="110"/>
        <n v="125"/>
        <n v="140"/>
        <n v="160"/>
        <n v="225"/>
      </sharedItems>
    </cacheField>
    <cacheField name="TF Range" numFmtId="0">
      <sharedItems containsBlank="1"/>
    </cacheField>
    <cacheField name="Type" numFmtId="0">
      <sharedItems count="2">
        <s v="E"/>
        <s v="D"/>
      </sharedItems>
    </cacheField>
    <cacheField name="2" numFmtId="0">
      <sharedItems containsBlank="1"/>
    </cacheField>
    <cacheField name="TF code" numFmtId="0">
      <sharedItems count="54">
        <s v="VS-RH40A16"/>
        <s v="VS-RH40A20"/>
        <s v="VS-RH50A25"/>
        <s v="VS-RH63A32"/>
        <s v="VS-RH75A40"/>
        <s v="VS-RH125A50"/>
        <s v="VS-RH125A63"/>
        <s v="VS-RH125A75"/>
        <s v="VS-RH160A90"/>
        <s v="VS-R200A110"/>
        <s v="VS-R200A125"/>
        <s v="FV-R225A140"/>
        <s v="FV-R250A160"/>
        <s v="FV-R315A225"/>
        <s v="VS-RH75A16"/>
        <s v="VS-RH90A20"/>
        <s v="VS-RH90A25"/>
        <s v="VS-RH125A32"/>
        <s v="VS-RH125A40"/>
        <s v="VS-RH160A50"/>
        <s v="VS-RH160A63"/>
        <s v="VS-RH160A75"/>
        <s v="VS-RS40A16"/>
        <s v="VS-RS40A20"/>
        <s v="VS-RS50A25"/>
        <s v="VS-RS63A32"/>
        <s v="VS-RS75A40"/>
        <s v="VS-RS90A50"/>
        <s v="VS-RS125A63"/>
        <s v="VS-RS125A75"/>
        <s v="VS-RS160A90"/>
        <s v="VS-RS90A25"/>
        <s v="VS-RS125A32"/>
        <s v="VS-RS125A40"/>
        <s v="VS-RS160A50"/>
        <s v="VS-RS160A63"/>
        <s v="VS-RS160A75"/>
        <s v="VS-RH63A2/16"/>
        <s v="VS-RH75A2/20"/>
        <s v="VS-RH125A2/25"/>
        <s v="VS-RH125A2/32"/>
        <s v="VS-RH160A2/40"/>
        <s v="VS-RH160A2/50"/>
        <s v="VS-RH200A2/63"/>
        <s v="VS-RH90A2/16"/>
        <s v="VS-RH125A2/20"/>
        <s v="VS-RH160A2/32"/>
        <s v="VS-RS63A2/16"/>
        <s v="VS-RS75A2/20"/>
        <s v="VS-RS125A2/25"/>
        <s v="VS-RS125A2/32"/>
        <s v="VS-RS160A2/40"/>
        <s v="VS-RS160A2/50"/>
        <s v="VS-RS200A2/63"/>
      </sharedItems>
    </cacheField>
    <cacheField name="x" numFmtId="2">
      <sharedItems containsSemiMixedTypes="0" containsString="0" containsNumber="1" minValue="0.12250480310691797" maxValue="0.85946666666666671"/>
    </cacheField>
    <cacheField name="d" numFmtId="2">
      <sharedItems containsSemiMixedTypes="0" containsString="0" containsNumber="1" minValue="-8.1331548488237786" maxValue="-0.83249113293595833"/>
    </cacheField>
    <cacheField name="[W/m]" numFmtId="2">
      <sharedItems containsSemiMixedTypes="0" containsString="0" containsNumber="1" minValue="-8.1331548488237786" maxValue="-0.832491132935958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">
  <r>
    <x v="0"/>
    <s v="Standard"/>
    <x v="0"/>
    <m/>
    <x v="0"/>
    <n v="0.19850592924534605"/>
    <n v="-2.3108709427359466"/>
    <n v="-2.3108709427359466"/>
  </r>
  <r>
    <x v="1"/>
    <s v="Standard"/>
    <x v="0"/>
    <m/>
    <x v="1"/>
    <n v="0.25863235274269936"/>
    <n v="-2.9822576472042375"/>
    <n v="-2.9822576472042375"/>
  </r>
  <r>
    <x v="2"/>
    <s v="Standard"/>
    <x v="0"/>
    <m/>
    <x v="2"/>
    <n v="0.25850435964417173"/>
    <n v="-2.9963558343333094"/>
    <n v="-2.9963558343333094"/>
  </r>
  <r>
    <x v="3"/>
    <s v="Standard"/>
    <x v="0"/>
    <m/>
    <x v="3"/>
    <n v="0.26735982131770508"/>
    <n v="-3.0968881813769222"/>
    <n v="-3.0968881813769222"/>
  </r>
  <r>
    <x v="4"/>
    <s v="Standard"/>
    <x v="0"/>
    <m/>
    <x v="4"/>
    <n v="0.28761871400469063"/>
    <n v="-3.3233884464766135"/>
    <n v="-3.3233884464766135"/>
  </r>
  <r>
    <x v="5"/>
    <s v="Standard"/>
    <x v="0"/>
    <m/>
    <x v="5"/>
    <n v="0.22767310219727896"/>
    <n v="-2.6264909648584602"/>
    <n v="-2.6264909648584602"/>
  </r>
  <r>
    <x v="6"/>
    <s v="Standard"/>
    <x v="0"/>
    <m/>
    <x v="6"/>
    <n v="0.30155498665039154"/>
    <n v="-3.4625138978535261"/>
    <n v="-3.4625138978535261"/>
  </r>
  <r>
    <x v="7"/>
    <s v="Standard"/>
    <x v="0"/>
    <m/>
    <x v="7"/>
    <n v="0.40031595515722251"/>
    <n v="-4.5656851168467778"/>
    <n v="-4.5656851168467778"/>
  </r>
  <r>
    <x v="8"/>
    <s v="Standard"/>
    <x v="0"/>
    <m/>
    <x v="8"/>
    <n v="0.34835034346065957"/>
    <n v="-3.9605053839944908"/>
    <n v="-3.9605053839944908"/>
  </r>
  <r>
    <x v="9"/>
    <s v="Standard"/>
    <x v="0"/>
    <m/>
    <x v="9"/>
    <n v="0.36568301706896983"/>
    <n v="-4.1193647278781569"/>
    <n v="-4.1193647278781569"/>
  </r>
  <r>
    <x v="10"/>
    <s v="Standard"/>
    <x v="0"/>
    <m/>
    <x v="10"/>
    <n v="0.44383926716957151"/>
    <n v="-4.9914259660093059"/>
    <n v="-4.9914259660093059"/>
  </r>
  <r>
    <x v="11"/>
    <s v="Standard"/>
    <x v="0"/>
    <m/>
    <x v="11"/>
    <n v="0.37736666666666668"/>
    <n v="-3.6573333333333373"/>
    <n v="-3.6573333333333373"/>
  </r>
  <r>
    <x v="12"/>
    <s v="Standard"/>
    <x v="0"/>
    <m/>
    <x v="12"/>
    <n v="0.38654999999999995"/>
    <n v="-3.4119999999999973"/>
    <n v="-3.4119999999999973"/>
  </r>
  <r>
    <x v="13"/>
    <s v="Standard"/>
    <x v="0"/>
    <m/>
    <x v="13"/>
    <n v="0.49095205000000003"/>
    <n v="-4.2790409999999994"/>
    <n v="-4.2790409999999994"/>
  </r>
  <r>
    <x v="0"/>
    <s v="DHC"/>
    <x v="0"/>
    <m/>
    <x v="14"/>
    <n v="0.12250480310691797"/>
    <n v="-1.4358157084926804"/>
    <n v="-1.4358157084926804"/>
  </r>
  <r>
    <x v="1"/>
    <s v="DHC"/>
    <x v="0"/>
    <m/>
    <x v="15"/>
    <n v="0.13028632319765804"/>
    <n v="-1.5213213334294"/>
    <n v="-1.5213213334294"/>
  </r>
  <r>
    <x v="2"/>
    <s v="DHC"/>
    <x v="0"/>
    <m/>
    <x v="16"/>
    <n v="0.15413015251991005"/>
    <n v="-1.7993220484861148"/>
    <n v="-1.7993220484861148"/>
  </r>
  <r>
    <x v="3"/>
    <s v="DHC"/>
    <x v="0"/>
    <m/>
    <x v="17"/>
    <n v="0.15554460385305838"/>
    <n v="-1.8027407200957111"/>
    <n v="-1.8027407200957111"/>
  </r>
  <r>
    <x v="4"/>
    <s v="DHC"/>
    <x v="0"/>
    <m/>
    <x v="18"/>
    <n v="0.18476122260117747"/>
    <n v="-2.1372426211114606"/>
    <n v="-2.1372426211114606"/>
  </r>
  <r>
    <x v="5"/>
    <s v="DHC"/>
    <x v="0"/>
    <m/>
    <x v="19"/>
    <n v="0.18884258633591816"/>
    <n v="-2.1589386337594272"/>
    <n v="-2.1589386337594272"/>
  </r>
  <r>
    <x v="6"/>
    <s v="DHC"/>
    <x v="0"/>
    <m/>
    <x v="20"/>
    <n v="0.22993029776219187"/>
    <n v="-2.624970267678"/>
    <n v="-2.624970267678"/>
  </r>
  <r>
    <x v="7"/>
    <s v="DHC"/>
    <x v="0"/>
    <m/>
    <x v="21"/>
    <n v="0.27453863650202881"/>
    <n v="-3.1296434032268046"/>
    <n v="-3.1296434032268046"/>
  </r>
  <r>
    <x v="0"/>
    <m/>
    <x v="0"/>
    <m/>
    <x v="22"/>
    <n v="0.19850592924534605"/>
    <n v="-2.3108709427359466"/>
    <n v="-2.3108709427359466"/>
  </r>
  <r>
    <x v="1"/>
    <m/>
    <x v="0"/>
    <m/>
    <x v="23"/>
    <n v="0.25863235274269936"/>
    <n v="-2.9822576472042375"/>
    <n v="-2.9822576472042375"/>
  </r>
  <r>
    <x v="2"/>
    <m/>
    <x v="0"/>
    <m/>
    <x v="24"/>
    <n v="0.25850435964417173"/>
    <n v="-2.9963558343333094"/>
    <n v="-2.9963558343333094"/>
  </r>
  <r>
    <x v="3"/>
    <m/>
    <x v="0"/>
    <m/>
    <x v="25"/>
    <n v="0.26735982131770508"/>
    <n v="-3.0968881813769222"/>
    <n v="-3.0968881813769222"/>
  </r>
  <r>
    <x v="4"/>
    <m/>
    <x v="0"/>
    <m/>
    <x v="26"/>
    <n v="0.28761871400469063"/>
    <n v="-3.3233884464766135"/>
    <n v="-3.3233884464766135"/>
  </r>
  <r>
    <x v="5"/>
    <m/>
    <x v="0"/>
    <m/>
    <x v="27"/>
    <n v="0.32521642926842032"/>
    <n v="-3.741800433929912"/>
    <n v="-3.741800433929912"/>
  </r>
  <r>
    <x v="6"/>
    <m/>
    <x v="0"/>
    <m/>
    <x v="28"/>
    <n v="0.30155498665039154"/>
    <n v="-3.4625138978535261"/>
    <n v="-3.4625138978535261"/>
  </r>
  <r>
    <x v="7"/>
    <m/>
    <x v="0"/>
    <m/>
    <x v="29"/>
    <n v="0.40031595515722251"/>
    <n v="-4.5656851168467778"/>
    <n v="-4.5656851168467778"/>
  </r>
  <r>
    <x v="8"/>
    <m/>
    <x v="0"/>
    <m/>
    <x v="30"/>
    <n v="0.34835034346065957"/>
    <n v="-3.9605053839944908"/>
    <n v="-3.9605053839944908"/>
  </r>
  <r>
    <x v="2"/>
    <m/>
    <x v="0"/>
    <m/>
    <x v="31"/>
    <n v="0.15413015251991005"/>
    <n v="-1.7993220484861148"/>
    <n v="-1.7993220484861148"/>
  </r>
  <r>
    <x v="3"/>
    <m/>
    <x v="0"/>
    <m/>
    <x v="32"/>
    <n v="0.15554460385305838"/>
    <n v="-1.8027407200957111"/>
    <n v="-1.8027407200957111"/>
  </r>
  <r>
    <x v="4"/>
    <m/>
    <x v="0"/>
    <m/>
    <x v="33"/>
    <n v="0.18476122260117747"/>
    <n v="-2.1372426211114606"/>
    <n v="-2.1372426211114606"/>
  </r>
  <r>
    <x v="5"/>
    <m/>
    <x v="0"/>
    <m/>
    <x v="34"/>
    <n v="0.18884258633591816"/>
    <n v="-2.1589386337594272"/>
    <n v="-2.1589386337594272"/>
  </r>
  <r>
    <x v="6"/>
    <m/>
    <x v="0"/>
    <m/>
    <x v="35"/>
    <n v="0.22993029776219187"/>
    <n v="-2.624970267678"/>
    <n v="-2.624970267678"/>
  </r>
  <r>
    <x v="7"/>
    <m/>
    <x v="0"/>
    <m/>
    <x v="36"/>
    <n v="0.27453863650202881"/>
    <n v="-3.1296434032268046"/>
    <n v="-3.1296434032268046"/>
  </r>
  <r>
    <x v="0"/>
    <s v="Standard"/>
    <x v="1"/>
    <s v="SP"/>
    <x v="0"/>
    <n v="0.36390699274776095"/>
    <n v="-4.1215297509383628"/>
    <n v="-4.1215297509383628"/>
  </r>
  <r>
    <x v="1"/>
    <s v="Standard"/>
    <x v="1"/>
    <s v="SP"/>
    <x v="1"/>
    <n v="0.46105459564138379"/>
    <n v="-5.1553773813328725"/>
    <n v="-5.1553773813328725"/>
  </r>
  <r>
    <x v="2"/>
    <s v="Standard"/>
    <x v="1"/>
    <s v="SP"/>
    <x v="2"/>
    <n v="0.46162900885677749"/>
    <n v="-5.1855431262199119"/>
    <n v="-5.1855431262199119"/>
  </r>
  <r>
    <x v="3"/>
    <s v="Standard"/>
    <x v="1"/>
    <s v="SP"/>
    <x v="3"/>
    <n v="0.47640000716942366"/>
    <n v="-5.3465593134533087"/>
    <n v="-5.3465593134533087"/>
  </r>
  <r>
    <x v="4"/>
    <s v="Standard"/>
    <x v="1"/>
    <s v="SP"/>
    <x v="4"/>
    <n v="0.50874430488067857"/>
    <n v="-5.6910329297467861"/>
    <n v="-5.6910329297467861"/>
  </r>
  <r>
    <x v="5"/>
    <s v="Standard"/>
    <x v="1"/>
    <s v="SP"/>
    <x v="5"/>
    <n v="0.41549021104583678"/>
    <n v="-4.6671085118064362"/>
    <n v="-4.6671085118064362"/>
  </r>
  <r>
    <x v="6"/>
    <s v="Standard"/>
    <x v="1"/>
    <s v="SP"/>
    <x v="6"/>
    <n v="0.53330564262074709"/>
    <n v="-5.9359508207036669"/>
    <n v="-5.9359508207036669"/>
  </r>
  <r>
    <x v="7"/>
    <s v="Standard"/>
    <x v="1"/>
    <s v="SP"/>
    <x v="7"/>
    <n v="0.67845582912322178"/>
    <n v="-7.4595805792936183"/>
    <n v="-7.4595805792936183"/>
  </r>
  <r>
    <x v="8"/>
    <s v="Standard"/>
    <x v="1"/>
    <s v="SP"/>
    <x v="8"/>
    <n v="0.60730513215975368"/>
    <n v="-6.6919095499340742"/>
    <n v="-6.6919095499340742"/>
  </r>
  <r>
    <x v="9"/>
    <s v="Standard"/>
    <x v="1"/>
    <s v="SP"/>
    <x v="9"/>
    <n v="0.63596645667888407"/>
    <n v="-6.9554650417746551"/>
    <n v="-6.9554650417746551"/>
  </r>
  <r>
    <x v="10"/>
    <s v="Standard"/>
    <x v="1"/>
    <s v="SP"/>
    <x v="10"/>
    <n v="0.74803927856936769"/>
    <n v="-8.1331548488237786"/>
    <n v="-8.1331548488237786"/>
  </r>
  <r>
    <x v="11"/>
    <s v="Standard"/>
    <x v="1"/>
    <s v="SP"/>
    <x v="11"/>
    <n v="0.63383333333333336"/>
    <n v="-5.3266666666666644"/>
    <n v="-5.3266666666666644"/>
  </r>
  <r>
    <x v="12"/>
    <s v="Standard"/>
    <x v="1"/>
    <s v="SP"/>
    <x v="12"/>
    <n v="0.68766666666666665"/>
    <n v="-5.803333333333331"/>
    <n v="-5.803333333333331"/>
  </r>
  <r>
    <x v="13"/>
    <s v="Standard"/>
    <x v="1"/>
    <s v="SP"/>
    <x v="13"/>
    <n v="0.85946666666666671"/>
    <n v="-8.0773333333333355"/>
    <n v="-8.0773333333333355"/>
  </r>
  <r>
    <x v="0"/>
    <s v="DHC"/>
    <x v="1"/>
    <s v="SP"/>
    <x v="14"/>
    <n v="0.23263127334517045"/>
    <n v="-2.6686284422032802"/>
    <n v="-2.6686284422032802"/>
  </r>
  <r>
    <x v="1"/>
    <s v="DHC"/>
    <x v="1"/>
    <s v="SP"/>
    <x v="15"/>
    <n v="0.24677336535618524"/>
    <n v="-2.8202784838549633"/>
    <n v="-2.8202784838549633"/>
  </r>
  <r>
    <x v="2"/>
    <s v="DHC"/>
    <x v="1"/>
    <s v="SP"/>
    <x v="16"/>
    <n v="0.28897477838245111"/>
    <n v="-3.2959984652276262"/>
    <n v="-3.2959984652276262"/>
  </r>
  <r>
    <x v="3"/>
    <s v="DHC"/>
    <x v="1"/>
    <s v="SP"/>
    <x v="17"/>
    <n v="0.29206693148518997"/>
    <n v="-3.3113753635436556"/>
    <n v="-3.3113753635436556"/>
  </r>
  <r>
    <x v="4"/>
    <s v="DHC"/>
    <x v="1"/>
    <s v="SP"/>
    <x v="18"/>
    <n v="0.34272653007005"/>
    <n v="-3.8712369223511889"/>
    <n v="-3.8712369223511889"/>
  </r>
  <r>
    <x v="5"/>
    <s v="DHC"/>
    <x v="1"/>
    <s v="SP"/>
    <x v="19"/>
    <n v="0.35078075512873069"/>
    <n v="-3.9236794746993091"/>
    <n v="-3.9236794746993091"/>
  </r>
  <r>
    <x v="7"/>
    <s v="DHC"/>
    <x v="1"/>
    <s v="SP"/>
    <x v="21"/>
    <n v="0.49254361289246185"/>
    <n v="-5.4659696967211318"/>
    <n v="-5.4659696967211318"/>
  </r>
  <r>
    <x v="13"/>
    <s v="Standard"/>
    <x v="1"/>
    <s v="SP"/>
    <x v="13"/>
    <n v="0.85946666666666671"/>
    <n v="-8.0773333333333355"/>
    <n v="-8.0773333333333355"/>
  </r>
  <r>
    <x v="0"/>
    <m/>
    <x v="1"/>
    <s v="SP"/>
    <x v="22"/>
    <n v="0.36390699274776095"/>
    <n v="-4.1215297509383628"/>
    <n v="-4.1215297509383628"/>
  </r>
  <r>
    <x v="1"/>
    <m/>
    <x v="1"/>
    <s v="SP"/>
    <x v="23"/>
    <n v="0.46105459564138379"/>
    <n v="-5.1553773813328725"/>
    <n v="-5.1553773813328725"/>
  </r>
  <r>
    <x v="2"/>
    <m/>
    <x v="1"/>
    <s v="SP"/>
    <x v="24"/>
    <n v="0.46162900885677749"/>
    <n v="-5.1855431262199119"/>
    <n v="-5.1855431262199119"/>
  </r>
  <r>
    <x v="3"/>
    <m/>
    <x v="1"/>
    <s v="SP"/>
    <x v="25"/>
    <n v="0.47640000716942366"/>
    <n v="-5.3465593134533087"/>
    <n v="-5.3465593134533087"/>
  </r>
  <r>
    <x v="4"/>
    <m/>
    <x v="1"/>
    <s v="SP"/>
    <x v="26"/>
    <n v="0.50874430488067857"/>
    <n v="-5.6910329297467861"/>
    <n v="-5.6910329297467861"/>
  </r>
  <r>
    <x v="5"/>
    <m/>
    <x v="1"/>
    <s v="SP"/>
    <x v="27"/>
    <n v="0.56676650539745455"/>
    <n v="-6.3025624703540863"/>
    <n v="-6.3025624703540863"/>
  </r>
  <r>
    <x v="6"/>
    <m/>
    <x v="1"/>
    <s v="SP"/>
    <x v="28"/>
    <n v="0.53330564262074709"/>
    <n v="-5.9359508207036669"/>
    <n v="-5.9359508207036669"/>
  </r>
  <r>
    <x v="7"/>
    <m/>
    <x v="1"/>
    <s v="SP"/>
    <x v="29"/>
    <n v="0.67845582912322178"/>
    <n v="-7.4595805792936183"/>
    <n v="-7.4595805792936183"/>
  </r>
  <r>
    <x v="8"/>
    <m/>
    <x v="1"/>
    <s v="SP"/>
    <x v="30"/>
    <n v="0.60730513215975368"/>
    <n v="-6.6919095499340742"/>
    <n v="-6.6919095499340742"/>
  </r>
  <r>
    <x v="0"/>
    <s v="Standard"/>
    <x v="1"/>
    <s v="D"/>
    <x v="37"/>
    <n v="0.23513225955477879"/>
    <n v="-1.1756612977738907"/>
    <n v="-1.1756612977738907"/>
  </r>
  <r>
    <x v="1"/>
    <s v="Standard"/>
    <x v="1"/>
    <s v="D"/>
    <x v="38"/>
    <n v="0.24052599198338936"/>
    <n v="-1.2026299599169441"/>
    <n v="-1.2026299599169441"/>
  </r>
  <r>
    <x v="2"/>
    <s v="Standard"/>
    <x v="1"/>
    <s v="D"/>
    <x v="39"/>
    <n v="0.19946454557331958"/>
    <n v="-0.9973227278665977"/>
    <n v="-0.9973227278665977"/>
  </r>
  <r>
    <x v="3"/>
    <s v="Standard"/>
    <x v="1"/>
    <s v="D"/>
    <x v="40"/>
    <n v="0.25507654259849299"/>
    <n v="-1.2753827129924638"/>
    <n v="-1.2753827129924638"/>
  </r>
  <r>
    <x v="4"/>
    <s v="Standard"/>
    <x v="1"/>
    <s v="D"/>
    <x v="41"/>
    <n v="0.23240139815121788"/>
    <n v="-1.2921118520974293"/>
    <n v="-1.2921118520974293"/>
  </r>
  <r>
    <x v="5"/>
    <s v="Standard"/>
    <x v="1"/>
    <s v="D"/>
    <x v="42"/>
    <n v="0.31027419683938195"/>
    <n v="-1.8319357471505597"/>
    <n v="-1.8319357471505597"/>
  </r>
  <r>
    <x v="6"/>
    <s v="Standard"/>
    <x v="1"/>
    <s v="D"/>
    <x v="43"/>
    <n v="0.34260668966987856"/>
    <n v="-2.4785351735902896"/>
    <n v="-2.4785351735902896"/>
  </r>
  <r>
    <x v="0"/>
    <s v="DHC"/>
    <x v="1"/>
    <s v="D"/>
    <x v="44"/>
    <n v="0.21684545102895453"/>
    <n v="-1.0842272551447731"/>
    <n v="-1.0842272551447731"/>
  </r>
  <r>
    <x v="1"/>
    <s v="DHC"/>
    <x v="1"/>
    <s v="D"/>
    <x v="45"/>
    <n v="0.16649822658719207"/>
    <n v="-0.83249113293595833"/>
    <n v="-0.83249113293595833"/>
  </r>
  <r>
    <x v="3"/>
    <s v="DHC"/>
    <x v="1"/>
    <s v="D"/>
    <x v="46"/>
    <n v="0.18928468010828531"/>
    <n v="-1.0427744086628241"/>
    <n v="-1.0427744086628241"/>
  </r>
  <r>
    <x v="0"/>
    <m/>
    <x v="1"/>
    <s v="D"/>
    <x v="47"/>
    <n v="0.23513225955477879"/>
    <n v="-1.1756612977738907"/>
    <n v="-1.1756612977738907"/>
  </r>
  <r>
    <x v="1"/>
    <m/>
    <x v="1"/>
    <s v="D"/>
    <x v="48"/>
    <n v="0.24052599198338936"/>
    <n v="-1.2026299599169441"/>
    <n v="-1.2026299599169441"/>
  </r>
  <r>
    <x v="2"/>
    <m/>
    <x v="1"/>
    <s v="D"/>
    <x v="49"/>
    <n v="0.19946454557331958"/>
    <n v="-0.9973227278665977"/>
    <n v="-0.9973227278665977"/>
  </r>
  <r>
    <x v="3"/>
    <m/>
    <x v="1"/>
    <s v="D"/>
    <x v="50"/>
    <n v="0.25507654259849299"/>
    <n v="-1.2753827129924638"/>
    <n v="-1.2753827129924638"/>
  </r>
  <r>
    <x v="4"/>
    <m/>
    <x v="1"/>
    <s v="D"/>
    <x v="51"/>
    <n v="0.23240139815121788"/>
    <n v="-1.2921118520974293"/>
    <n v="-1.2921118520974293"/>
  </r>
  <r>
    <x v="5"/>
    <m/>
    <x v="1"/>
    <s v="D"/>
    <x v="52"/>
    <n v="0.31027419683938195"/>
    <n v="-1.8319357471505597"/>
    <n v="-1.8319357471505597"/>
  </r>
  <r>
    <x v="6"/>
    <m/>
    <x v="1"/>
    <s v="D"/>
    <x v="53"/>
    <n v="0.34260668966987856"/>
    <n v="-2.4785351735902896"/>
    <n v="-2.47853517359028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rowGrandTotals="0" itemPrintTitles="1" createdVersion="4" indent="0" outline="1" outlineData="1" multipleFieldFilters="0">
  <location ref="J4:J7" firstHeaderRow="1" firstDataRow="1" firstDataCol="1" rowPageCount="2" colPageCount="1"/>
  <pivotFields count="8"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axis="axisRow" showAll="0">
      <items count="55">
        <item x="11"/>
        <item x="12"/>
        <item x="13"/>
        <item x="9"/>
        <item x="10"/>
        <item x="45"/>
        <item x="39"/>
        <item x="40"/>
        <item x="17"/>
        <item x="18"/>
        <item x="5"/>
        <item x="6"/>
        <item x="7"/>
        <item x="46"/>
        <item x="41"/>
        <item x="42"/>
        <item x="19"/>
        <item x="20"/>
        <item x="21"/>
        <item x="8"/>
        <item x="43"/>
        <item x="0"/>
        <item x="1"/>
        <item x="2"/>
        <item x="37"/>
        <item x="3"/>
        <item x="14"/>
        <item x="38"/>
        <item x="4"/>
        <item x="44"/>
        <item x="15"/>
        <item x="16"/>
        <item x="49"/>
        <item x="50"/>
        <item x="32"/>
        <item x="33"/>
        <item x="28"/>
        <item x="29"/>
        <item x="51"/>
        <item x="52"/>
        <item x="34"/>
        <item x="35"/>
        <item x="36"/>
        <item x="30"/>
        <item x="53"/>
        <item x="22"/>
        <item x="23"/>
        <item x="24"/>
        <item x="47"/>
        <item x="25"/>
        <item x="48"/>
        <item x="26"/>
        <item x="31"/>
        <item x="27"/>
        <item t="default"/>
      </items>
    </pivotField>
    <pivotField numFmtId="2" showAll="0"/>
    <pivotField numFmtId="2" showAll="0"/>
    <pivotField numFmtId="2" showAll="0"/>
  </pivotFields>
  <rowFields count="1">
    <field x="4"/>
  </rowFields>
  <rowItems count="3">
    <i>
      <x v="12"/>
    </i>
    <i>
      <x v="18"/>
    </i>
    <i>
      <x v="37"/>
    </i>
  </rowItems>
  <colItems count="1">
    <i/>
  </colItems>
  <pageFields count="2">
    <pageField fld="0" item="7" hier="-1"/>
    <pageField fld="2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6:G37"/>
  <sheetViews>
    <sheetView showRowColHeaders="0" tabSelected="1" zoomScale="130" zoomScaleNormal="130" workbookViewId="0">
      <selection activeCell="A35" sqref="A35"/>
    </sheetView>
  </sheetViews>
  <sheetFormatPr defaultColWidth="11.42578125" defaultRowHeight="12.75" x14ac:dyDescent="0.2"/>
  <cols>
    <col min="1" max="16384" width="11.42578125" style="54"/>
  </cols>
  <sheetData>
    <row r="26" spans="1:7" x14ac:dyDescent="0.2">
      <c r="A26" s="57" t="s">
        <v>889</v>
      </c>
      <c r="B26" s="55"/>
      <c r="C26" s="55"/>
      <c r="D26" s="56"/>
      <c r="E26" s="55"/>
      <c r="F26" s="55"/>
      <c r="G26" s="55"/>
    </row>
    <row r="27" spans="1:7" x14ac:dyDescent="0.2">
      <c r="A27" s="55"/>
      <c r="B27" s="55"/>
      <c r="C27" s="55"/>
      <c r="D27" s="56"/>
      <c r="E27" s="55"/>
      <c r="F27" s="55"/>
      <c r="G27" s="55"/>
    </row>
    <row r="28" spans="1:7" s="151" customFormat="1" ht="11.25" x14ac:dyDescent="0.2">
      <c r="A28" s="150" t="s">
        <v>498</v>
      </c>
    </row>
    <row r="29" spans="1:7" s="151" customFormat="1" ht="11.25" x14ac:dyDescent="0.2">
      <c r="A29" s="150" t="s">
        <v>890</v>
      </c>
    </row>
    <row r="30" spans="1:7" s="151" customFormat="1" ht="11.25" x14ac:dyDescent="0.2"/>
    <row r="31" spans="1:7" s="151" customFormat="1" ht="11.25" x14ac:dyDescent="0.2">
      <c r="A31" s="150" t="s">
        <v>499</v>
      </c>
    </row>
    <row r="32" spans="1:7" s="151" customFormat="1" ht="11.25" x14ac:dyDescent="0.2">
      <c r="A32" s="150" t="s">
        <v>500</v>
      </c>
    </row>
    <row r="33" spans="1:1" s="151" customFormat="1" ht="11.25" x14ac:dyDescent="0.2"/>
    <row r="34" spans="1:1" s="151" customFormat="1" ht="11.25" x14ac:dyDescent="0.2">
      <c r="A34" s="150" t="s">
        <v>891</v>
      </c>
    </row>
    <row r="35" spans="1:1" s="151" customFormat="1" ht="11.25" x14ac:dyDescent="0.2">
      <c r="A35" s="150" t="s">
        <v>501</v>
      </c>
    </row>
    <row r="36" spans="1:1" s="151" customFormat="1" ht="11.25" x14ac:dyDescent="0.2">
      <c r="A36" s="150" t="s">
        <v>502</v>
      </c>
    </row>
    <row r="37" spans="1:1" s="151" customFormat="1" ht="11.25" x14ac:dyDescent="0.2">
      <c r="A37" s="150" t="s">
        <v>503</v>
      </c>
    </row>
  </sheetData>
  <sheetProtection password="C77F" sheet="1" objects="1" scenarios="1" selectLockedCells="1" selectUnlockedCells="1"/>
  <customSheetViews>
    <customSheetView guid="{D3C035BD-38DA-40E9-B8C6-982F4670808B}" scale="130">
      <selection activeCell="I17" sqref="I17"/>
      <pageMargins left="0.78740157499999996" right="0.78740157499999996" top="0.984251969" bottom="0.984251969" header="0.4921259845" footer="0.4921259845"/>
      <pageSetup orientation="portrait" horizontalDpi="300" verticalDpi="300" r:id="rId1"/>
      <headerFooter alignWithMargins="0">
        <oddHeader>&amp;A</oddHeader>
        <oddFooter>Seite &amp;P</oddFooter>
      </headerFooter>
    </customSheetView>
  </customSheetViews>
  <phoneticPr fontId="0" type="noConversion"/>
  <pageMargins left="0.78740157499999996" right="0.78740157499999996" top="0.984251969" bottom="0.984251969" header="0.4921259845" footer="0.4921259845"/>
  <pageSetup orientation="portrait" horizontalDpi="300" verticalDpi="300" r:id="rId2"/>
  <headerFooter alignWithMargins="0">
    <oddHeader>&amp;A</oddHeader>
    <oddFooter>Seite 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pageSetUpPr fitToPage="1"/>
  </sheetPr>
  <dimension ref="A1:AC58"/>
  <sheetViews>
    <sheetView showGridLines="0" zoomScale="85" zoomScaleNormal="85" workbookViewId="0">
      <selection activeCell="D30" sqref="D30:E30"/>
    </sheetView>
  </sheetViews>
  <sheetFormatPr defaultColWidth="11.42578125" defaultRowHeight="12.75" x14ac:dyDescent="0.2"/>
  <cols>
    <col min="1" max="1" width="3.85546875" style="61" customWidth="1"/>
    <col min="2" max="2" width="32.7109375" style="61" customWidth="1"/>
    <col min="3" max="3" width="15.140625" style="61" customWidth="1"/>
    <col min="4" max="4" width="15" style="61" customWidth="1"/>
    <col min="5" max="5" width="5.140625" style="61" bestFit="1" customWidth="1"/>
    <col min="6" max="6" width="9" style="61" customWidth="1"/>
    <col min="7" max="7" width="14.7109375" style="61" customWidth="1"/>
    <col min="8" max="8" width="11.42578125" style="61"/>
    <col min="9" max="9" width="12" style="61" customWidth="1"/>
    <col min="10" max="10" width="11.5703125" style="61" customWidth="1"/>
    <col min="11" max="11" width="16.28515625" style="61" customWidth="1"/>
    <col min="12" max="12" width="14.7109375" style="61" customWidth="1"/>
    <col min="13" max="13" width="2.5703125" style="61" customWidth="1"/>
    <col min="14" max="27" width="11.42578125" style="61"/>
    <col min="28" max="28" width="11.42578125" style="308"/>
    <col min="29" max="29" width="13.7109375" style="308" bestFit="1" customWidth="1"/>
    <col min="30" max="16384" width="11.42578125" style="61"/>
  </cols>
  <sheetData>
    <row r="1" spans="1:29" s="140" customFormat="1" ht="12" thickBot="1" x14ac:dyDescent="0.25">
      <c r="A1" s="139" t="s">
        <v>897</v>
      </c>
      <c r="AB1" s="305" t="s">
        <v>60</v>
      </c>
      <c r="AC1" s="305" t="s">
        <v>892</v>
      </c>
    </row>
    <row r="2" spans="1:29" ht="13.5" thickTop="1" x14ac:dyDescent="0.2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2"/>
      <c r="AB2" s="306" t="str">
        <f>Language!B1</f>
        <v>ENGLISH</v>
      </c>
      <c r="AC2" s="306" t="str">
        <f>IF(PARAMETER_HL!J5="","",PARAMETER_HL!J5)</f>
        <v>VS-RH125A75</v>
      </c>
    </row>
    <row r="3" spans="1:29" ht="15" x14ac:dyDescent="0.2">
      <c r="A3" s="64"/>
      <c r="B3" s="334" t="str">
        <f>HLOOKUP($K$32,Language!$B:$Y,2,0)</f>
        <v>PIPE SIZING FOR SINGLE OR DOUBLE LINES BETWEEN 2 NET POSITIONS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66"/>
      <c r="AB3" s="307" t="str">
        <f>Language!C1</f>
        <v>GERMAN</v>
      </c>
      <c r="AC3" s="306" t="str">
        <f>IF(PARAMETER_HL!J6="","",PARAMETER_HL!J6)</f>
        <v>VS-RH160A75</v>
      </c>
    </row>
    <row r="4" spans="1:29" ht="23.25" x14ac:dyDescent="0.35">
      <c r="A4" s="64"/>
      <c r="B4" s="335" t="str">
        <f>HLOOKUP($K$32,Language!$B:$Y,3,0)</f>
        <v>FLEXALEN - PREINSULATED PIPE SYSTEMS</v>
      </c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66"/>
      <c r="AB4" s="307" t="str">
        <f>Language!D1</f>
        <v>BULAGRIAN</v>
      </c>
      <c r="AC4" s="306" t="str">
        <f>IF(PARAMETER_HL!J7="","",PARAMETER_HL!J7)</f>
        <v>VS-RS125A75</v>
      </c>
    </row>
    <row r="5" spans="1:29" x14ac:dyDescent="0.2">
      <c r="A5" s="64"/>
      <c r="B5" s="336" t="str">
        <f>HLOOKUP($K$32,Language!$B:$Y,4,0)</f>
        <v>MADE FOR DOMESTIC WATER DISTRIBUTION AND DISTRICT HEATING SUPPLY LINES</v>
      </c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66"/>
      <c r="AB5" s="307" t="str">
        <f>Language!E1</f>
        <v xml:space="preserve">DUTCH </v>
      </c>
      <c r="AC5" s="306" t="str">
        <f>IF(PARAMETER_HL!J8="","",PARAMETER_HL!J8)</f>
        <v/>
      </c>
    </row>
    <row r="6" spans="1:29" x14ac:dyDescent="0.2">
      <c r="A6" s="64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6"/>
      <c r="AB6" s="307" t="str">
        <f>Language!F1</f>
        <v>FRENCH</v>
      </c>
      <c r="AC6" s="306" t="str">
        <f>IF(PARAMETER_HL!J9="","",PARAMETER_HL!J9)</f>
        <v/>
      </c>
    </row>
    <row r="7" spans="1:29" ht="13.5" thickBot="1" x14ac:dyDescent="0.25">
      <c r="A7" s="64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6"/>
      <c r="AB7" s="307" t="str">
        <f>Language!G1</f>
        <v>ROMANIAN</v>
      </c>
      <c r="AC7" s="306" t="str">
        <f>IF(PARAMETER_HL!J10="","",PARAMETER_HL!J10)</f>
        <v/>
      </c>
    </row>
    <row r="8" spans="1:29" ht="13.5" thickTop="1" x14ac:dyDescent="0.2">
      <c r="A8" s="64"/>
      <c r="B8" s="271" t="str">
        <f>HLOOKUP($K$32,Language!$A:$Y,51,0)</f>
        <v>PLEASE CHOOSE APPLICATION:</v>
      </c>
      <c r="C8" s="265" t="str">
        <f>HLOOKUP($K$32,Language!$A:$Y,52,0)</f>
        <v>SUPPLY LINE →</v>
      </c>
      <c r="D8" s="73"/>
      <c r="E8" s="73"/>
      <c r="F8" s="65"/>
      <c r="G8" s="89" t="str">
        <f>HLOOKUP($K$32,Language!$A:$Y,22,0)</f>
        <v>USABLE TEMP. DIFF.</v>
      </c>
      <c r="H8" s="90"/>
      <c r="I8" s="95" t="str">
        <f>IFERROR(IF(G29="E",HLOOKUP($K$32,Language!$A:$Y,36,0),K16-K18),HLOOKUP($K$32,Language!$A:$Y,78,0))</f>
        <v>not appliable</v>
      </c>
      <c r="J8" s="65"/>
      <c r="K8" s="65"/>
      <c r="L8" s="65"/>
      <c r="M8" s="66"/>
      <c r="AB8" s="307" t="str">
        <f>Language!H1</f>
        <v>TURKISH</v>
      </c>
      <c r="AC8" s="306" t="str">
        <f>IF(PARAMETER_HL!J11="","",PARAMETER_HL!J11)</f>
        <v/>
      </c>
    </row>
    <row r="9" spans="1:29" x14ac:dyDescent="0.2">
      <c r="A9" s="64"/>
      <c r="B9" s="73"/>
      <c r="C9" s="265" t="str">
        <f>HLOOKUP($K$32,Language!$A:$Y,53,0)</f>
        <v>HEATING / COOLING →</v>
      </c>
      <c r="D9" s="73"/>
      <c r="E9" s="73"/>
      <c r="F9" s="65"/>
      <c r="G9" s="91" t="str">
        <f>HLOOKUP($K$32,Language!$A:$Y,23,0)</f>
        <v>USABLE LOAD</v>
      </c>
      <c r="H9" s="92"/>
      <c r="I9" s="96" t="str">
        <f>IFERROR(IF(G29="E",HLOOKUP($K$32,Language!$A:$Y,36,0),TEMPERATUR!C28),HLOOKUP($K$32,Language!$A:$Y,78,0))</f>
        <v>not appliable</v>
      </c>
      <c r="J9" s="65"/>
      <c r="K9" s="65"/>
      <c r="L9" s="65"/>
      <c r="M9" s="66"/>
      <c r="AB9" s="307" t="s">
        <v>175</v>
      </c>
      <c r="AC9" s="306" t="str">
        <f>IF(PARAMETER_HL!J12="","",PARAMETER_HL!J12)</f>
        <v/>
      </c>
    </row>
    <row r="10" spans="1:29" ht="13.5" thickBot="1" x14ac:dyDescent="0.25">
      <c r="A10" s="64"/>
      <c r="B10" s="73"/>
      <c r="C10" s="80"/>
      <c r="D10" s="73"/>
      <c r="E10" s="73"/>
      <c r="F10" s="65"/>
      <c r="G10" s="93" t="str">
        <f>HLOOKUP($K$32,Language!$A:$Y,24,0)</f>
        <v>NET VOLUME</v>
      </c>
      <c r="H10" s="94"/>
      <c r="I10" s="97">
        <f>TEMPERATUR!G12</f>
        <v>0</v>
      </c>
      <c r="J10" s="73"/>
      <c r="K10" s="65"/>
      <c r="L10" s="65"/>
      <c r="M10" s="66"/>
      <c r="AB10" s="307" t="s">
        <v>592</v>
      </c>
      <c r="AC10" s="306" t="str">
        <f>IF(PARAMETER_HL!J13="","",PARAMETER_HL!J13)</f>
        <v/>
      </c>
    </row>
    <row r="11" spans="1:29" ht="16.5" thickTop="1" thickBot="1" x14ac:dyDescent="0.3">
      <c r="A11" s="64"/>
      <c r="B11" s="273" t="str">
        <f>IF($G$29="D",HLOOKUP($K$32,Language!$A:$Y,60,0),HLOOKUP($K$32,Language!$A:$Y,55,0))</f>
        <v>TEMPERATURE</v>
      </c>
      <c r="C11" s="274" t="s">
        <v>884</v>
      </c>
      <c r="D11" s="283"/>
      <c r="E11" s="284" t="str">
        <f>IF($G$29="D",HLOOKUP($K$32,Language!A:Y,71,FALSE),HLOOKUP($K$32,Language!A:Y,66,FALSE))</f>
        <v>°C</v>
      </c>
      <c r="F11" s="65"/>
      <c r="G11" s="65"/>
      <c r="H11" s="65"/>
      <c r="I11" s="65"/>
      <c r="J11" s="65"/>
      <c r="K11" s="65"/>
      <c r="L11" s="65"/>
      <c r="M11" s="66"/>
      <c r="AB11" s="307" t="s">
        <v>597</v>
      </c>
      <c r="AC11" s="306" t="str">
        <f>IF(PARAMETER_HL!J14="","",PARAMETER_HL!J14)</f>
        <v/>
      </c>
    </row>
    <row r="12" spans="1:29" ht="15.75" thickBot="1" x14ac:dyDescent="0.3">
      <c r="A12" s="64"/>
      <c r="B12" s="275" t="str">
        <f>IF($G$29="D",HLOOKUP($K$32,Language!$A:$Y,61,0),"")</f>
        <v/>
      </c>
      <c r="C12" s="266" t="str">
        <f>IF(G29="E","","(Tr)")</f>
        <v/>
      </c>
      <c r="D12" s="285"/>
      <c r="E12" s="286" t="str">
        <f>IF($G$29="D",HLOOKUP($K$32,Language!A:Y,72,FALSE),"")</f>
        <v/>
      </c>
      <c r="F12" s="65"/>
      <c r="G12" s="123" t="str">
        <f>HLOOKUP($K$32,Language!$A:$Y,25,0)</f>
        <v>SOURCE</v>
      </c>
      <c r="H12" s="129">
        <f>PARAMETER_R!C31</f>
        <v>0</v>
      </c>
      <c r="I12" s="130" t="str">
        <f>HLOOKUP($K$32,Language!$A:$Y,29,0)</f>
        <v>RESERVE PRESSURE FOR PUMP</v>
      </c>
      <c r="J12" s="124"/>
      <c r="K12" s="124"/>
      <c r="L12" s="125"/>
      <c r="M12" s="66"/>
      <c r="AB12" s="307" t="s">
        <v>717</v>
      </c>
      <c r="AC12" s="308" t="str">
        <f>IF(PARAMETER_HL!J15="","",PARAMETER_HL!J15)</f>
        <v/>
      </c>
    </row>
    <row r="13" spans="1:29" ht="28.5" customHeight="1" thickBot="1" x14ac:dyDescent="0.25">
      <c r="A13" s="64"/>
      <c r="B13" s="276" t="str">
        <f>HLOOKUP($K$32,Language!A:Y,10,0)</f>
        <v>TEMP. DIFFERENCE (Tf - Tr)</v>
      </c>
      <c r="C13" s="270"/>
      <c r="D13" s="303" t="str">
        <f>IF(G29="E",HLOOKUP($K$32,Language!$A:$Y,36,0),D11-D12)</f>
        <v>not appliable</v>
      </c>
      <c r="E13" s="288" t="s">
        <v>794</v>
      </c>
      <c r="F13" s="65"/>
      <c r="G13" s="117" t="str">
        <f>HLOOKUP($K$32,Language!$A:$Y,26,0)</f>
        <v>TEMP. DIFF.</v>
      </c>
      <c r="H13" s="65"/>
      <c r="I13" s="74" t="str">
        <f>HLOOKUP($K$32,Language!$A:$Y,30,0)</f>
        <v>Temperature °C</v>
      </c>
      <c r="J13" s="74" t="str">
        <f>HLOOKUP($K$32,Language!$A:$Y,31,0)</f>
        <v>Pressure loss bar</v>
      </c>
      <c r="K13" s="74" t="str">
        <f>HLOOKUP($K$32,Language!$A:$Y,32,0)</f>
        <v>Dimension OD</v>
      </c>
      <c r="L13" s="131" t="str">
        <f>HLOOKUP($K$32,Language!$A:$Y,33,0)</f>
        <v>END POINT</v>
      </c>
      <c r="M13" s="66"/>
      <c r="AB13" s="309" t="s">
        <v>639</v>
      </c>
      <c r="AC13" s="308" t="str">
        <f>IF(PARAMETER_HL!J16="","",PARAMETER_HL!J16)</f>
        <v/>
      </c>
    </row>
    <row r="14" spans="1:29" ht="15.75" thickBot="1" x14ac:dyDescent="0.25">
      <c r="A14" s="64"/>
      <c r="B14" s="277" t="str">
        <f>HLOOKUP($K$32,Language!$A:$Y,62,0)</f>
        <v>TRENCH LENGTH</v>
      </c>
      <c r="C14" s="269"/>
      <c r="D14" s="289"/>
      <c r="E14" s="310" t="str">
        <f>HLOOKUP($K$32,Language!A:Y,73,FALSE)</f>
        <v xml:space="preserve">m </v>
      </c>
      <c r="F14" s="65"/>
      <c r="G14" s="118" t="str">
        <f>IF(G29="E",HLOOKUP($K$32,Language!$A:$Y,27,0),D13)</f>
        <v>NO</v>
      </c>
      <c r="H14" s="65"/>
      <c r="I14" s="65"/>
      <c r="J14" s="65"/>
      <c r="K14" s="65"/>
      <c r="L14" s="128"/>
      <c r="M14" s="66"/>
      <c r="AB14" s="309" t="s">
        <v>924</v>
      </c>
      <c r="AC14" s="308" t="str">
        <f>IF(PARAMETER_HL!J17="","",PARAMETER_HL!J17)</f>
        <v/>
      </c>
    </row>
    <row r="15" spans="1:29" ht="15.75" thickBot="1" x14ac:dyDescent="0.3">
      <c r="A15" s="64"/>
      <c r="B15" s="275" t="str">
        <f>IF($G$29="D",HLOOKUP($K$32,Language!$A:$Y,63,0),HLOOKUP($K$32,Language!$A:$Y,57,0))</f>
        <v>QUANTITY OF LIQUID</v>
      </c>
      <c r="C15" s="65"/>
      <c r="D15" s="285"/>
      <c r="E15" s="286" t="str">
        <f>IF(G29="D",HLOOKUP($K$32,Language!A:Y,74,FALSE),HLOOKUP($K$32,Language!A:Y,68,FALSE))</f>
        <v>l/s</v>
      </c>
      <c r="F15" s="65"/>
      <c r="G15" s="119"/>
      <c r="H15" s="115" t="str">
        <f>HLOOKUP($K$32,Language!$A:$Y,34,0)</f>
        <v>FLOW</v>
      </c>
      <c r="I15" s="111">
        <f>D11</f>
        <v>0</v>
      </c>
      <c r="J15" s="112">
        <f>D26/100000</f>
        <v>0</v>
      </c>
      <c r="K15" s="242">
        <f>D24</f>
        <v>16</v>
      </c>
      <c r="L15" s="126"/>
      <c r="M15" s="66"/>
      <c r="AC15" s="308" t="str">
        <f>IF(PARAMETER_HL!J18="","",PARAMETER_HL!J18)</f>
        <v/>
      </c>
    </row>
    <row r="16" spans="1:29" ht="15.75" thickBot="1" x14ac:dyDescent="0.3">
      <c r="A16" s="64"/>
      <c r="B16" s="278" t="str">
        <f>IF($G$29="D",HLOOKUP($K$32,Language!$A:$Y,64,0),HLOOKUP($K$32,Language!$A:$Y,58,0))</f>
        <v>ADDITIONAL PRESSURE FOR PUMP</v>
      </c>
      <c r="C16" s="279"/>
      <c r="D16" s="290"/>
      <c r="E16" s="311" t="str">
        <f>IF($G$29="D",HLOOKUP($K$32,Language!A:Y,69,FALSE),HLOOKUP($K$32,Language!A:Y,75,FALSE))</f>
        <v>bar</v>
      </c>
      <c r="F16" s="65"/>
      <c r="G16" s="119" t="str">
        <f>HLOOKUP($K$32,Language!$A:$Y,28,0)</f>
        <v>PUMP</v>
      </c>
      <c r="H16" s="76">
        <f>D11</f>
        <v>0</v>
      </c>
      <c r="I16" s="75"/>
      <c r="J16" s="77"/>
      <c r="K16" s="79" t="str">
        <f>IFERROR(D11-TEMPERATUR!C23,HLOOKUP($K$32,Language!$A:$Y,78,0))</f>
        <v>Choose product</v>
      </c>
      <c r="L16" s="126"/>
      <c r="M16" s="66"/>
      <c r="AC16" s="308" t="str">
        <f>IF(PARAMETER_HL!J19="","",PARAMETER_HL!J19)</f>
        <v/>
      </c>
    </row>
    <row r="17" spans="1:29" ht="13.5" thickBot="1" x14ac:dyDescent="0.25">
      <c r="A17" s="64"/>
      <c r="B17" s="73"/>
      <c r="C17" s="80"/>
      <c r="D17" s="73"/>
      <c r="E17" s="73"/>
      <c r="F17" s="65"/>
      <c r="G17" s="120">
        <f>IF(G29="E",J15,J15+J17)+H12</f>
        <v>0</v>
      </c>
      <c r="H17" s="116" t="str">
        <f>HLOOKUP($K$32,Language!$A:$Y,35,0)</f>
        <v>RETURN</v>
      </c>
      <c r="I17" s="113" t="str">
        <f>IF(G29="E","------",D12)</f>
        <v>------</v>
      </c>
      <c r="J17" s="114">
        <f>IFERROR(D27/100000,0)</f>
        <v>0</v>
      </c>
      <c r="K17" s="243" t="str">
        <f>IF(G29="E","------",D24)</f>
        <v>------</v>
      </c>
      <c r="L17" s="126"/>
      <c r="M17" s="66"/>
      <c r="AC17" s="308" t="str">
        <f>IF(PARAMETER_HL!J20="","",PARAMETER_HL!J20)</f>
        <v/>
      </c>
    </row>
    <row r="18" spans="1:29" ht="15.75" thickBot="1" x14ac:dyDescent="0.3">
      <c r="A18" s="64"/>
      <c r="B18" s="280" t="str">
        <f>HLOOKUP($K$32,Language!A:Y,7,0)</f>
        <v>SIZE TUNING</v>
      </c>
      <c r="C18" s="281"/>
      <c r="D18" s="282">
        <v>1</v>
      </c>
      <c r="E18" s="286" t="s">
        <v>798</v>
      </c>
      <c r="F18" s="65"/>
      <c r="G18" s="121">
        <f>D21 * 3.6</f>
        <v>3.5999999999999998E-11</v>
      </c>
      <c r="H18" s="76" t="str">
        <f>IF(G29="E",HLOOKUP($K$32,Language!$A:$Y,36,0),D12)</f>
        <v>not appliable</v>
      </c>
      <c r="I18" s="65"/>
      <c r="J18" s="78"/>
      <c r="K18" s="79" t="str">
        <f>IFERROR(IF(G29="E",HLOOKUP($K$32,Language!$A:$Y,36,0),H18+TEMPERATUR!D23),HLOOKUP($K$32,Language!$A:$Y,78,0))</f>
        <v>not appliable</v>
      </c>
      <c r="L18" s="126"/>
      <c r="M18" s="66"/>
      <c r="AC18" s="308" t="str">
        <f>IF(PARAMETER_HL!J21="","",PARAMETER_HL!J21)</f>
        <v/>
      </c>
    </row>
    <row r="19" spans="1:29" ht="13.5" thickBot="1" x14ac:dyDescent="0.25">
      <c r="A19" s="64"/>
      <c r="B19" s="73"/>
      <c r="C19" s="73"/>
      <c r="D19" s="73"/>
      <c r="E19" s="249"/>
      <c r="F19" s="65"/>
      <c r="G19" s="122"/>
      <c r="H19" s="65"/>
      <c r="I19" s="339">
        <f>PARAMETER_R!C28</f>
        <v>0</v>
      </c>
      <c r="J19" s="339"/>
      <c r="K19" s="65"/>
      <c r="L19" s="127"/>
      <c r="M19" s="66"/>
      <c r="AC19" s="308" t="str">
        <f>IF(PARAMETER_HL!J22="","",PARAMETER_HL!J22)</f>
        <v/>
      </c>
    </row>
    <row r="20" spans="1:29" ht="13.5" thickBot="1" x14ac:dyDescent="0.25">
      <c r="A20" s="64"/>
      <c r="B20" s="291" t="str">
        <f>HLOOKUP($K$32,Language!A:Y,12,0)</f>
        <v>HEAT LOAD kW SOURCE</v>
      </c>
      <c r="C20" s="292"/>
      <c r="D20" s="293">
        <f>PARAMETER_R!C29</f>
        <v>0</v>
      </c>
      <c r="E20" s="294" t="s">
        <v>241</v>
      </c>
      <c r="F20" s="65"/>
      <c r="G20" s="65"/>
      <c r="H20" s="65"/>
      <c r="I20" s="65"/>
      <c r="J20" s="65"/>
      <c r="K20" s="65"/>
      <c r="L20" s="65"/>
      <c r="M20" s="66"/>
      <c r="AC20" s="308" t="str">
        <f>IF(PARAMETER_HL!J23="","",PARAMETER_HL!J23)</f>
        <v/>
      </c>
    </row>
    <row r="21" spans="1:29" ht="14.25" thickTop="1" thickBot="1" x14ac:dyDescent="0.25">
      <c r="A21" s="64"/>
      <c r="B21" s="295" t="str">
        <f>HLOOKUP($K$32,Language!A:Y,13,0)</f>
        <v>VOLUMETRIC FLOW RATE</v>
      </c>
      <c r="C21" s="73"/>
      <c r="D21" s="287">
        <f>IF(G29&lt;&gt;"E",IF(D20=0,PARAMETER_R!C30,(D20*1000/(D13* 4196))),IF(PARAMETER_R!C30=0,0.00000000001,PARAMETER_R!C30))</f>
        <v>9.9999999999999994E-12</v>
      </c>
      <c r="E21" s="296" t="s">
        <v>243</v>
      </c>
      <c r="F21" s="65"/>
      <c r="G21" s="312" t="str">
        <f>HLOOKUP($K$32,Language!$A:$Y,37,0)</f>
        <v>Soil temperature</v>
      </c>
      <c r="H21" s="313">
        <v>10</v>
      </c>
      <c r="I21" s="314"/>
      <c r="J21" s="314" t="str">
        <f>HLOOKUP($K$32,Language!$A:$Y,40,0)</f>
        <v>Temperature drop Flow</v>
      </c>
      <c r="K21" s="314"/>
      <c r="L21" s="322" t="str">
        <f>IFERROR(H16-K16,HLOOKUP($K$32,Language!$A:$Y,78,0))</f>
        <v>Choose product</v>
      </c>
      <c r="M21" s="66"/>
      <c r="AC21" s="308" t="str">
        <f>IF(PARAMETER_HL!J24="","",PARAMETER_HL!J24)</f>
        <v/>
      </c>
    </row>
    <row r="22" spans="1:29" ht="13.5" thickBot="1" x14ac:dyDescent="0.25">
      <c r="A22" s="64"/>
      <c r="B22" s="297" t="str">
        <f>HLOOKUP($K$32,Language!A:Y,14,0)</f>
        <v>PIPE LENGTH</v>
      </c>
      <c r="C22" s="298"/>
      <c r="D22" s="299">
        <f>IF(G29="E",PARAMETER_R!C28,PARAMETER_R!C28*2)</f>
        <v>0</v>
      </c>
      <c r="E22" s="300" t="s">
        <v>240</v>
      </c>
      <c r="F22" s="65"/>
      <c r="G22" s="315" t="str">
        <f>HLOOKUP($K$32,Language!$A:$Y,38,0)</f>
        <v>Coverage</v>
      </c>
      <c r="H22" s="316">
        <v>800</v>
      </c>
      <c r="I22" s="317"/>
      <c r="J22" s="317" t="str">
        <f>HLOOKUP($K$32,Language!$A:$Y,41,0)</f>
        <v>Trench Length</v>
      </c>
      <c r="K22" s="317"/>
      <c r="L22" s="318">
        <f>PARAMETER_R!C28</f>
        <v>0</v>
      </c>
      <c r="M22" s="66"/>
    </row>
    <row r="23" spans="1:29" ht="13.5" thickBot="1" x14ac:dyDescent="0.25">
      <c r="A23" s="64"/>
      <c r="B23" s="65"/>
      <c r="C23" s="65"/>
      <c r="D23" s="65"/>
      <c r="E23" s="65"/>
      <c r="F23" s="65"/>
      <c r="G23" s="319" t="str">
        <f>HLOOKUP($K$32,Language!$A:$Y,39,0)</f>
        <v>Lambda soil</v>
      </c>
      <c r="H23" s="320">
        <v>1</v>
      </c>
      <c r="I23" s="321"/>
      <c r="J23" s="321" t="str">
        <f>HLOOKUP($K$32,Language!$A:$Y,42,0)</f>
        <v>Dwell time Flow</v>
      </c>
      <c r="K23" s="321"/>
      <c r="L23" s="325">
        <f>IFERROR(TEMPERATUR!C13,0)</f>
        <v>0</v>
      </c>
      <c r="M23" s="66"/>
    </row>
    <row r="24" spans="1:29" ht="16.5" thickTop="1" thickBot="1" x14ac:dyDescent="0.3">
      <c r="A24" s="64"/>
      <c r="B24" s="251" t="str">
        <f>HLOOKUP($K$32,Language!$A:$Y,15,0)</f>
        <v>OD (DIMENSION)</v>
      </c>
      <c r="C24" s="252"/>
      <c r="D24" s="301">
        <f>IF(D21*D18&lt;PARAMETER_R!$J$7,      PARAMETER_R!$A$7,      LOOKUP(D21*D18,PARAMETER_R!$J$7:$J$20,PARAMETER_R!$A$7:$A$20))</f>
        <v>16</v>
      </c>
      <c r="E24" s="253"/>
      <c r="F24" s="65"/>
      <c r="G24" s="65"/>
      <c r="H24" s="65"/>
      <c r="I24" s="65"/>
      <c r="J24" s="65"/>
      <c r="K24" s="65"/>
      <c r="L24" s="65"/>
      <c r="M24" s="66"/>
    </row>
    <row r="25" spans="1:29" ht="13.5" thickTop="1" x14ac:dyDescent="0.2">
      <c r="A25" s="64"/>
      <c r="B25" s="254" t="str">
        <f>HLOOKUP($K$32,Language!$A:$Y,16,0)</f>
        <v>VELOCITY</v>
      </c>
      <c r="C25" s="73"/>
      <c r="D25" s="81">
        <f>D21/((LOOKUP(D24,PARAMETER_R!$A$7:$A$20,PARAMETER_R!$B$7:$B$20)/2)^2*PI()*0.001)</f>
        <v>9.4622439412541801E-11</v>
      </c>
      <c r="E25" s="255"/>
      <c r="F25" s="65"/>
      <c r="G25" s="83" t="str">
        <f>HLOOKUP($K$32,Language!$A:$Y,43,0)</f>
        <v>Pressure rating</v>
      </c>
      <c r="H25" s="132">
        <f>IF(D24&gt;110,6,8)</f>
        <v>8</v>
      </c>
      <c r="I25" s="135" t="str">
        <f>HLOOKUP($K$32,Language!$A:$Y,47,0)</f>
        <v>at 95°C</v>
      </c>
      <c r="J25" s="84"/>
      <c r="K25" s="65"/>
      <c r="L25" s="65"/>
      <c r="M25" s="66"/>
    </row>
    <row r="26" spans="1:29" ht="13.5" customHeight="1" thickBot="1" x14ac:dyDescent="0.25">
      <c r="A26" s="64"/>
      <c r="B26" s="254" t="str">
        <f>HLOOKUP($K$32,Language!$A:$Y,17,0)</f>
        <v>PRESSURE DROP FLOW</v>
      </c>
      <c r="C26" s="73"/>
      <c r="D26" s="82">
        <f>PARAMETER_R!C28*D25^PARAMETER_R!$B$1*LOOKUP(D24,PARAMETER_R!$A$7:$A$20,PARAMETER_R!$C$7:$C$20)*(PARAMETER_R!$B$2^((90-$D$11)/10))</f>
        <v>0</v>
      </c>
      <c r="E26" s="255"/>
      <c r="F26" s="65"/>
      <c r="G26" s="87" t="str">
        <f>HLOOKUP($K$32,Language!$A:$Y,44,0)</f>
        <v>max. Pressure</v>
      </c>
      <c r="H26" s="133">
        <f>PARAMETER_R!G24</f>
        <v>16.388449863675987</v>
      </c>
      <c r="I26" s="136" t="str">
        <f>HLOOKUP($K$32,Language!$A:$Y,48,0)</f>
        <v>at Service Temperature</v>
      </c>
      <c r="J26" s="88"/>
      <c r="K26" s="65"/>
      <c r="L26" s="65"/>
      <c r="M26" s="66"/>
    </row>
    <row r="27" spans="1:29" ht="13.5" customHeight="1" thickBot="1" x14ac:dyDescent="0.25">
      <c r="A27" s="64"/>
      <c r="B27" s="254" t="str">
        <f>HLOOKUP($K$32,Language!$A:$Y,18,0)</f>
        <v>PRESSURE DROP RETURN</v>
      </c>
      <c r="C27" s="73"/>
      <c r="D27" s="250" t="str">
        <f>IF(G29="E","------",PARAMETER_R!C28*D25^PARAMETER_R!$B$1*LOOKUP(D24,PARAMETER_R!$A$7:$A$20,PARAMETER_R!$C$7:$C$20)*(PARAMETER_R!$B$2^((90-D12)/10)))</f>
        <v>------</v>
      </c>
      <c r="E27" s="255"/>
      <c r="F27" s="65"/>
      <c r="G27" s="87" t="str">
        <f>HLOOKUP($K$32,Language!$A:$Y,45,0)</f>
        <v>Pressure drop</v>
      </c>
      <c r="H27" s="133">
        <f>J15+J17</f>
        <v>0</v>
      </c>
      <c r="I27" s="137" t="str">
        <f>HLOOKUP($K$32,Language!$A:$Y,49,0)</f>
        <v>FLEXALEN pipes only</v>
      </c>
      <c r="J27" s="98"/>
      <c r="K27" s="65"/>
      <c r="L27" s="65"/>
      <c r="M27" s="66"/>
    </row>
    <row r="28" spans="1:29" ht="13.5" customHeight="1" thickBot="1" x14ac:dyDescent="0.25">
      <c r="A28" s="64"/>
      <c r="B28" s="256" t="str">
        <f>HLOOKUP($K$32,Language!$A:$Y,19,0)</f>
        <v>PRESSURE DROP TOTAL</v>
      </c>
      <c r="C28" s="257"/>
      <c r="D28" s="258">
        <f>IF(G29="E",D26,D26+D27)</f>
        <v>0</v>
      </c>
      <c r="E28" s="259"/>
      <c r="F28" s="65"/>
      <c r="G28" s="85" t="str">
        <f>HLOOKUP($K$32,Language!$A:$Y,46,0)</f>
        <v>Reserve press.</v>
      </c>
      <c r="H28" s="134">
        <f>H26-((D28/100000)+H12)</f>
        <v>16.388449863675987</v>
      </c>
      <c r="I28" s="138" t="str">
        <f>HLOOKUP($K$32,Language!$A:$Y,50,0)</f>
        <v>at Service Temperature</v>
      </c>
      <c r="J28" s="86"/>
      <c r="K28" s="65"/>
      <c r="L28" s="65"/>
      <c r="M28" s="66"/>
    </row>
    <row r="29" spans="1:29" ht="15" customHeight="1" thickBot="1" x14ac:dyDescent="0.25">
      <c r="A29" s="64"/>
      <c r="B29" s="65"/>
      <c r="C29" s="65"/>
      <c r="D29" s="65"/>
      <c r="E29" s="65"/>
      <c r="F29" s="65"/>
      <c r="G29" s="304" t="s">
        <v>877</v>
      </c>
      <c r="H29" s="65"/>
      <c r="I29" s="65"/>
      <c r="J29" s="65"/>
      <c r="K29" s="65"/>
      <c r="L29" s="65"/>
      <c r="M29" s="66"/>
    </row>
    <row r="30" spans="1:29" ht="15" customHeight="1" thickBot="1" x14ac:dyDescent="0.3">
      <c r="A30" s="64"/>
      <c r="B30" s="104" t="str">
        <f>HLOOKUP($K$32,Language!$A:$Y,76,0)</f>
        <v>SELECT A FLEXALEN PRODUCT</v>
      </c>
      <c r="C30" s="65"/>
      <c r="D30" s="337"/>
      <c r="E30" s="338"/>
      <c r="F30" s="65"/>
      <c r="G30" s="65"/>
      <c r="H30" s="272" t="str">
        <f>IF(G29="E",HLOOKUP($K$32,Language!B:Y,20,0),HLOOKUP($K$32,Language!B:Y,21,0))</f>
        <v>SUPPLY LINE (SINGLE LINE)</v>
      </c>
      <c r="I30" s="65"/>
      <c r="J30" s="65"/>
      <c r="K30" s="65"/>
      <c r="L30" s="65"/>
      <c r="M30" s="66"/>
    </row>
    <row r="31" spans="1:29" ht="15" customHeight="1" thickBot="1" x14ac:dyDescent="0.25">
      <c r="A31" s="64"/>
      <c r="B31" s="65"/>
      <c r="C31" s="65"/>
      <c r="D31" s="108"/>
      <c r="E31" s="65"/>
      <c r="F31" s="65"/>
      <c r="G31" s="65"/>
      <c r="H31" s="65"/>
      <c r="I31" s="65"/>
      <c r="J31" s="65"/>
      <c r="K31" s="65"/>
      <c r="L31" s="65"/>
      <c r="M31" s="66"/>
    </row>
    <row r="32" spans="1:29" ht="15" customHeight="1" thickBot="1" x14ac:dyDescent="0.25">
      <c r="A32" s="64"/>
      <c r="B32" s="104" t="str">
        <f>HLOOKUP($K$32,Language!$A:$Y,77,0)</f>
        <v>HEAT LOSS PER m' TRENCH LENGTH</v>
      </c>
      <c r="C32" s="73"/>
      <c r="D32" s="324" t="str">
        <f>IFERROR(TEMPERATUR!C14+TEMPERATUR!D14,HLOOKUP($K$32,Language!$A:$Y,78,0))</f>
        <v>Choose product</v>
      </c>
      <c r="E32" s="296" t="s">
        <v>893</v>
      </c>
      <c r="F32" s="65"/>
      <c r="G32" s="65"/>
      <c r="H32" s="65"/>
      <c r="I32" s="65"/>
      <c r="J32" s="80" t="s">
        <v>127</v>
      </c>
      <c r="K32" s="107" t="s">
        <v>54</v>
      </c>
      <c r="L32" s="65"/>
      <c r="M32" s="66"/>
    </row>
    <row r="33" spans="1:13" ht="15" customHeight="1" thickBot="1" x14ac:dyDescent="0.25">
      <c r="A33" s="64"/>
      <c r="B33" s="104" t="str">
        <f>HLOOKUP($K$32,Language!$A:$Y,79,0)</f>
        <v>HEAT LOSS TOTAL</v>
      </c>
      <c r="C33" s="73"/>
      <c r="D33" s="323" t="str">
        <f>IFERROR(D32*D14/1000,HLOOKUP($K$32,Language!$A:$Y,78,0))</f>
        <v>Choose product</v>
      </c>
      <c r="E33" s="302" t="s">
        <v>241</v>
      </c>
      <c r="F33" s="65"/>
      <c r="G33" s="65"/>
      <c r="H33" s="65"/>
      <c r="I33" s="65"/>
      <c r="J33" s="80"/>
      <c r="K33" s="65"/>
      <c r="L33" s="65"/>
      <c r="M33" s="66"/>
    </row>
    <row r="34" spans="1:13" ht="13.5" thickBot="1" x14ac:dyDescent="0.25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9"/>
    </row>
    <row r="35" spans="1:13" ht="13.5" thickTop="1" x14ac:dyDescent="0.2"/>
    <row r="36" spans="1:13" x14ac:dyDescent="0.2">
      <c r="C36" s="62"/>
      <c r="D36" s="62"/>
    </row>
    <row r="37" spans="1:13" x14ac:dyDescent="0.2">
      <c r="C37" s="62"/>
      <c r="D37" s="62"/>
    </row>
    <row r="38" spans="1:13" x14ac:dyDescent="0.2">
      <c r="C38" s="62"/>
      <c r="D38" s="103"/>
    </row>
    <row r="39" spans="1:13" x14ac:dyDescent="0.2">
      <c r="C39" s="62"/>
      <c r="D39" s="103"/>
    </row>
    <row r="40" spans="1:13" x14ac:dyDescent="0.2">
      <c r="C40" s="62"/>
      <c r="D40" s="103"/>
    </row>
    <row r="41" spans="1:13" x14ac:dyDescent="0.2">
      <c r="C41" s="62"/>
      <c r="D41" s="103"/>
    </row>
    <row r="42" spans="1:13" x14ac:dyDescent="0.2">
      <c r="C42" s="62"/>
      <c r="D42" s="103"/>
    </row>
    <row r="43" spans="1:13" x14ac:dyDescent="0.2">
      <c r="C43" s="62"/>
      <c r="D43" s="63"/>
    </row>
    <row r="44" spans="1:13" x14ac:dyDescent="0.2">
      <c r="C44" s="62"/>
      <c r="D44" s="63"/>
    </row>
    <row r="45" spans="1:13" x14ac:dyDescent="0.2">
      <c r="C45" s="62"/>
      <c r="D45" s="63"/>
    </row>
    <row r="46" spans="1:13" x14ac:dyDescent="0.2">
      <c r="C46" s="62"/>
      <c r="D46" s="63"/>
    </row>
    <row r="47" spans="1:13" x14ac:dyDescent="0.2">
      <c r="C47" s="62"/>
      <c r="D47" s="63"/>
    </row>
    <row r="48" spans="1:13" x14ac:dyDescent="0.2">
      <c r="C48" s="62"/>
      <c r="D48" s="63"/>
    </row>
    <row r="49" spans="3:4" x14ac:dyDescent="0.2">
      <c r="C49" s="62"/>
      <c r="D49" s="63"/>
    </row>
    <row r="50" spans="3:4" x14ac:dyDescent="0.2">
      <c r="C50" s="62"/>
      <c r="D50" s="63"/>
    </row>
    <row r="51" spans="3:4" x14ac:dyDescent="0.2">
      <c r="C51" s="62"/>
      <c r="D51" s="63"/>
    </row>
    <row r="52" spans="3:4" x14ac:dyDescent="0.2">
      <c r="C52" s="62"/>
      <c r="D52" s="63"/>
    </row>
    <row r="53" spans="3:4" x14ac:dyDescent="0.2">
      <c r="C53" s="62"/>
      <c r="D53" s="63"/>
    </row>
    <row r="54" spans="3:4" x14ac:dyDescent="0.2">
      <c r="C54" s="62"/>
      <c r="D54" s="63"/>
    </row>
    <row r="55" spans="3:4" x14ac:dyDescent="0.2">
      <c r="C55" s="62"/>
      <c r="D55" s="63"/>
    </row>
    <row r="56" spans="3:4" x14ac:dyDescent="0.2">
      <c r="C56" s="62"/>
      <c r="D56" s="63"/>
    </row>
    <row r="57" spans="3:4" x14ac:dyDescent="0.2">
      <c r="C57" s="62"/>
      <c r="D57" s="63"/>
    </row>
    <row r="58" spans="3:4" x14ac:dyDescent="0.2">
      <c r="C58" s="62"/>
      <c r="D58" s="63"/>
    </row>
  </sheetData>
  <sheetProtection password="C77F" sheet="1" objects="1" scenarios="1" selectLockedCells="1"/>
  <scenarios current="0" show="0">
    <scenario name="ttt" locked="1" count="1" user="EDV-Stammrechner" comment="Erstellt von EDV-Stammrechner am 12.09.1996">
      <inputCells r="D10" undone="1" val="1" numFmtId="2"/>
    </scenario>
  </scenarios>
  <dataConsolidate/>
  <customSheetViews>
    <customSheetView guid="{D3C035BD-38DA-40E9-B8C6-982F4670808B}" fitToPage="1">
      <selection activeCell="D29" sqref="D29"/>
      <pageMargins left="0.78740157480314965" right="0.78740157480314965" top="0.98425196850393704" bottom="0.98425196850393704" header="0.51181102362204722" footer="0.51181102362204722"/>
      <pageSetup paperSize="256" scale="83" orientation="landscape" blackAndWhite="1" horizontalDpi="360" verticalDpi="360" r:id="rId1"/>
      <headerFooter alignWithMargins="0">
        <oddHeader>&amp;A</oddHeader>
        <oddFooter>Seite &amp;P</oddFooter>
      </headerFooter>
    </customSheetView>
  </customSheetViews>
  <mergeCells count="5">
    <mergeCell ref="B3:L3"/>
    <mergeCell ref="B4:L4"/>
    <mergeCell ref="B5:L5"/>
    <mergeCell ref="D30:E30"/>
    <mergeCell ref="I19:J19"/>
  </mergeCells>
  <phoneticPr fontId="0" type="noConversion"/>
  <conditionalFormatting sqref="D12">
    <cfRule type="expression" dxfId="8" priority="3" stopIfTrue="1">
      <formula>G29="E"</formula>
    </cfRule>
    <cfRule type="expression" dxfId="7" priority="13" stopIfTrue="1">
      <formula>AND($G$29="D",D12&gt;=D11)</formula>
    </cfRule>
  </conditionalFormatting>
  <conditionalFormatting sqref="D11 D30">
    <cfRule type="expression" dxfId="6" priority="8" stopIfTrue="1">
      <formula>$D$11&gt;95</formula>
    </cfRule>
  </conditionalFormatting>
  <conditionalFormatting sqref="D32">
    <cfRule type="expression" dxfId="5" priority="5">
      <formula>$D$30=""</formula>
    </cfRule>
  </conditionalFormatting>
  <conditionalFormatting sqref="I8:I9 K16 K18 L21">
    <cfRule type="expression" dxfId="4" priority="4">
      <formula>$D$30=""</formula>
    </cfRule>
  </conditionalFormatting>
  <conditionalFormatting sqref="E12">
    <cfRule type="expression" dxfId="3" priority="2">
      <formula>G29="E"</formula>
    </cfRule>
  </conditionalFormatting>
  <conditionalFormatting sqref="D33">
    <cfRule type="expression" dxfId="2" priority="1">
      <formula>$D$30=""</formula>
    </cfRule>
  </conditionalFormatting>
  <dataValidations count="2">
    <dataValidation type="list" allowBlank="1" showInputMessage="1" showErrorMessage="1" sqref="K32">
      <formula1>$AB$2:$AB$14</formula1>
    </dataValidation>
    <dataValidation type="list" allowBlank="1" showInputMessage="1" showErrorMessage="1" promptTitle="Flexalen 600" sqref="D30:E30">
      <formula1>$AC$2:$AC$11</formula1>
    </dataValidation>
  </dataValidations>
  <pageMargins left="0.78740157480314965" right="0.78740157480314965" top="0.98425196850393704" bottom="0.98425196850393704" header="0.51181102362204722" footer="0.51181102362204722"/>
  <pageSetup paperSize="256" scale="83" orientation="landscape" blackAndWhite="1" horizontalDpi="360" verticalDpi="360" r:id="rId2"/>
  <headerFooter alignWithMargins="0">
    <oddHeader>&amp;A</oddHeader>
    <oddFooter>Seite &amp;P</oddFooter>
  </headerFooter>
  <ignoredErrors>
    <ignoredError sqref="E16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5" name="Button 13">
              <controlPr defaultSize="0" print="0" autoFill="0" autoLine="0" autoPict="0" macro="[0]!EINROHRSYSTEM" altText="O_x000a_">
                <anchor moveWithCells="1" sizeWithCells="1">
                  <from>
                    <xdr:col>3</xdr:col>
                    <xdr:colOff>9525</xdr:colOff>
                    <xdr:row>7</xdr:row>
                    <xdr:rowOff>0</xdr:rowOff>
                  </from>
                  <to>
                    <xdr:col>5</xdr:col>
                    <xdr:colOff>9525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6" name="Button 14">
              <controlPr defaultSize="0" print="0" autoFill="0" autoLine="0" autoPict="0" macro="[0]!ZWEIROHRSYSTEM" altText="OO_x000a_">
                <anchor moveWithCells="1" sizeWithCells="1">
                  <from>
                    <xdr:col>3</xdr:col>
                    <xdr:colOff>9525</xdr:colOff>
                    <xdr:row>8</xdr:row>
                    <xdr:rowOff>28575</xdr:rowOff>
                  </from>
                  <to>
                    <xdr:col>5</xdr:col>
                    <xdr:colOff>9525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B1:L32"/>
  <sheetViews>
    <sheetView showGridLines="0" showRowColHeaders="0" zoomScaleNormal="100" workbookViewId="0">
      <selection activeCell="D14" sqref="D14"/>
    </sheetView>
  </sheetViews>
  <sheetFormatPr defaultColWidth="11.42578125" defaultRowHeight="12.75" x14ac:dyDescent="0.2"/>
  <cols>
    <col min="1" max="1" width="3.7109375" style="5" customWidth="1"/>
    <col min="2" max="2" width="14" style="5" customWidth="1"/>
    <col min="3" max="3" width="13" style="5" customWidth="1"/>
    <col min="4" max="4" width="11.42578125" style="5"/>
    <col min="5" max="5" width="14.28515625" style="5" customWidth="1"/>
    <col min="6" max="6" width="11.42578125" style="5"/>
    <col min="7" max="7" width="14" style="5" customWidth="1"/>
    <col min="8" max="8" width="11.42578125" style="5"/>
    <col min="9" max="9" width="14.140625" style="5" customWidth="1"/>
    <col min="10" max="10" width="23.140625" style="5" customWidth="1"/>
    <col min="11" max="16384" width="11.42578125" style="5"/>
  </cols>
  <sheetData>
    <row r="1" spans="2:11" s="1" customFormat="1" x14ac:dyDescent="0.2"/>
    <row r="2" spans="2:11" s="1" customFormat="1" ht="15" x14ac:dyDescent="0.2">
      <c r="B2" s="2" t="str">
        <f>CALC!B3</f>
        <v>PIPE SIZING FOR SINGLE OR DOUBLE LINES BETWEEN 2 NET POSITIONS</v>
      </c>
      <c r="C2" s="2"/>
      <c r="D2" s="2"/>
      <c r="E2" s="2"/>
      <c r="F2" s="2"/>
      <c r="G2" s="2"/>
      <c r="H2" s="2"/>
      <c r="I2" s="2"/>
      <c r="J2" s="2"/>
      <c r="K2" s="2"/>
    </row>
    <row r="3" spans="2:11" s="1" customFormat="1" ht="23.25" x14ac:dyDescent="0.35">
      <c r="B3" s="59" t="str">
        <f>CALC!B4</f>
        <v>FLEXALEN - PREINSULATED PIPE SYSTEMS</v>
      </c>
      <c r="C3" s="3"/>
      <c r="D3" s="3"/>
      <c r="E3" s="3"/>
      <c r="F3" s="3"/>
      <c r="G3" s="3"/>
      <c r="H3" s="3"/>
      <c r="I3" s="3"/>
      <c r="J3" s="3"/>
      <c r="K3" s="3"/>
    </row>
    <row r="4" spans="2:11" s="1" customFormat="1" ht="15" x14ac:dyDescent="0.2">
      <c r="B4" s="2" t="str">
        <f>CALC!B5</f>
        <v>MADE FOR DOMESTIC WATER DISTRIBUTION AND DISTRICT HEATING SUPPLY LINES</v>
      </c>
      <c r="C4" s="4"/>
      <c r="D4" s="4"/>
      <c r="E4" s="4"/>
      <c r="F4" s="4"/>
      <c r="G4" s="4"/>
      <c r="H4" s="4"/>
      <c r="I4" s="4"/>
      <c r="J4" s="4"/>
      <c r="K4" s="4"/>
    </row>
    <row r="5" spans="2:11" s="1" customFormat="1" x14ac:dyDescent="0.2"/>
    <row r="6" spans="2:11" s="1" customFormat="1" x14ac:dyDescent="0.2"/>
    <row r="7" spans="2:11" ht="15" x14ac:dyDescent="0.25">
      <c r="I7" s="148" t="str">
        <f>CALC!B24</f>
        <v>OD (DIMENSION)</v>
      </c>
      <c r="K7" s="330">
        <f>CALC!D24</f>
        <v>16</v>
      </c>
    </row>
    <row r="8" spans="2:11" x14ac:dyDescent="0.2">
      <c r="I8" s="5" t="str">
        <f>CALC!B25</f>
        <v>VELOCITY</v>
      </c>
      <c r="K8" s="326">
        <f>CALC!D25</f>
        <v>9.4622439412541801E-11</v>
      </c>
    </row>
    <row r="9" spans="2:11" ht="23.25" customHeight="1" x14ac:dyDescent="0.35">
      <c r="B9" s="333" t="s">
        <v>531</v>
      </c>
      <c r="C9" s="60"/>
      <c r="D9" s="60" t="str">
        <f>CALC!H30</f>
        <v>SUPPLY LINE (SINGLE LINE)</v>
      </c>
      <c r="E9" s="60"/>
      <c r="F9" s="60"/>
      <c r="G9" s="60"/>
      <c r="I9" s="5" t="str">
        <f>CALC!B21</f>
        <v>VOLUMETRIC FLOW RATE</v>
      </c>
      <c r="J9" s="7"/>
      <c r="K9" s="328">
        <f>CALC!D21</f>
        <v>9.9999999999999994E-12</v>
      </c>
    </row>
    <row r="10" spans="2:11" x14ac:dyDescent="0.2">
      <c r="I10" s="7" t="str">
        <f>CALC!B20</f>
        <v>HEAT LOAD kW SOURCE</v>
      </c>
      <c r="J10" s="7"/>
      <c r="K10" s="329">
        <f>CALC!D20</f>
        <v>0</v>
      </c>
    </row>
    <row r="11" spans="2:11" x14ac:dyDescent="0.2">
      <c r="I11" s="7" t="str">
        <f>CALC!B13</f>
        <v>TEMP. DIFFERENCE (Tf - Tr)</v>
      </c>
      <c r="J11" s="7"/>
      <c r="K11" s="8" t="str">
        <f>CALC!D13</f>
        <v>not appliable</v>
      </c>
    </row>
    <row r="12" spans="2:11" ht="13.5" thickBot="1" x14ac:dyDescent="0.25">
      <c r="I12" s="7" t="str">
        <f>CALC!G8</f>
        <v>USABLE TEMP. DIFF.</v>
      </c>
      <c r="J12" s="7"/>
      <c r="K12" s="8" t="str">
        <f>CALC!I8</f>
        <v>not appliable</v>
      </c>
    </row>
    <row r="13" spans="2:11" ht="14.25" thickTop="1" thickBot="1" x14ac:dyDescent="0.25">
      <c r="B13" s="9" t="str">
        <f>CALC!G12</f>
        <v>SOURCE</v>
      </c>
      <c r="C13" s="10">
        <f>CALC!H12</f>
        <v>0</v>
      </c>
      <c r="D13" s="11" t="str">
        <f>CALC!I12</f>
        <v>RESERVE PRESSURE FOR PUMP</v>
      </c>
      <c r="E13" s="11"/>
      <c r="F13" s="11"/>
      <c r="G13" s="12"/>
      <c r="I13" s="7" t="str">
        <f>CALC!G9</f>
        <v>USABLE LOAD</v>
      </c>
      <c r="J13" s="7"/>
      <c r="K13" s="13" t="str">
        <f>CALC!I9</f>
        <v>not appliable</v>
      </c>
    </row>
    <row r="14" spans="2:11" ht="27" thickTop="1" thickBot="1" x14ac:dyDescent="0.25">
      <c r="B14" s="14" t="s">
        <v>38</v>
      </c>
      <c r="C14" s="15"/>
      <c r="D14" s="16" t="str">
        <f>CALC!I13</f>
        <v>Temperature °C</v>
      </c>
      <c r="E14" s="16" t="str">
        <f>CALC!J13</f>
        <v>Pressure loss bar</v>
      </c>
      <c r="F14" s="16" t="str">
        <f>CALC!K13</f>
        <v>Dimension OD</v>
      </c>
      <c r="G14" s="44" t="str">
        <f>CALC!L13</f>
        <v>END POINT</v>
      </c>
      <c r="I14" s="5" t="str">
        <f>CALC!B26</f>
        <v>PRESSURE DROP FLOW</v>
      </c>
      <c r="K14" s="46">
        <f>CALC!D26</f>
        <v>0</v>
      </c>
    </row>
    <row r="15" spans="2:11" ht="14.25" thickTop="1" thickBot="1" x14ac:dyDescent="0.25">
      <c r="B15" s="17" t="str">
        <f>CALC!G14</f>
        <v>NO</v>
      </c>
      <c r="C15" s="7"/>
      <c r="F15" s="7"/>
      <c r="G15" s="18"/>
      <c r="I15" s="5" t="str">
        <f>CALC!B27</f>
        <v>PRESSURE DROP RETURN</v>
      </c>
      <c r="K15" s="46" t="str">
        <f>CALC!D27</f>
        <v>------</v>
      </c>
    </row>
    <row r="16" spans="2:11" ht="13.5" thickBot="1" x14ac:dyDescent="0.25">
      <c r="B16" s="14"/>
      <c r="C16" s="19" t="str">
        <f>CALC!H15</f>
        <v>FLOW</v>
      </c>
      <c r="D16" s="20">
        <f>CALC!I15</f>
        <v>0</v>
      </c>
      <c r="E16" s="21">
        <f>CALC!J15</f>
        <v>0</v>
      </c>
      <c r="F16" s="22">
        <f>CALC!K15</f>
        <v>16</v>
      </c>
      <c r="G16" s="23"/>
      <c r="I16" s="5" t="str">
        <f>CALC!B28</f>
        <v>PRESSURE DROP TOTAL</v>
      </c>
      <c r="K16" s="327">
        <f>CALC!D28</f>
        <v>0</v>
      </c>
    </row>
    <row r="17" spans="2:12" ht="13.5" thickBot="1" x14ac:dyDescent="0.25">
      <c r="B17" s="14" t="str">
        <f>CALC!G16</f>
        <v>PUMP</v>
      </c>
      <c r="C17" s="24">
        <f>CALC!H16</f>
        <v>0</v>
      </c>
      <c r="D17" s="25"/>
      <c r="E17" s="26"/>
      <c r="F17" s="27" t="str">
        <f>CALC!K16</f>
        <v>Choose product</v>
      </c>
      <c r="G17" s="23"/>
      <c r="K17" s="47"/>
    </row>
    <row r="18" spans="2:12" ht="13.5" thickBot="1" x14ac:dyDescent="0.25">
      <c r="B18" s="28">
        <f>CALC!G17</f>
        <v>0</v>
      </c>
      <c r="C18" s="29" t="str">
        <f>CALC!H17</f>
        <v>RETURN</v>
      </c>
      <c r="D18" s="30" t="str">
        <f>CALC!I17</f>
        <v>------</v>
      </c>
      <c r="E18" s="31">
        <f>CALC!J17</f>
        <v>0</v>
      </c>
      <c r="F18" s="145" t="str">
        <f>CALC!K17</f>
        <v>------</v>
      </c>
      <c r="G18" s="23"/>
      <c r="I18" s="5" t="str">
        <f>CALC!G25</f>
        <v>Pressure rating</v>
      </c>
      <c r="J18" s="7" t="str">
        <f>CALC!I25</f>
        <v>at 95°C</v>
      </c>
      <c r="K18" s="48">
        <f>CALC!H25</f>
        <v>8</v>
      </c>
    </row>
    <row r="19" spans="2:12" x14ac:dyDescent="0.2">
      <c r="B19" s="32">
        <f>CALC!G18</f>
        <v>3.5999999999999998E-11</v>
      </c>
      <c r="C19" s="24" t="str">
        <f>CALC!H18</f>
        <v>not appliable</v>
      </c>
      <c r="F19" s="33" t="str">
        <f>CALC!K18</f>
        <v>not appliable</v>
      </c>
      <c r="G19" s="23"/>
      <c r="I19" s="5" t="str">
        <f>CALC!G26</f>
        <v>max. Pressure</v>
      </c>
      <c r="J19" s="7" t="str">
        <f>CALC!I26</f>
        <v>at Service Temperature</v>
      </c>
      <c r="K19" s="48">
        <f>CALC!H26</f>
        <v>16.388449863675987</v>
      </c>
    </row>
    <row r="20" spans="2:12" ht="13.5" thickBot="1" x14ac:dyDescent="0.25">
      <c r="B20" s="34"/>
      <c r="C20" s="7"/>
      <c r="D20" s="35">
        <f>CALC!I19</f>
        <v>0</v>
      </c>
      <c r="E20" s="36"/>
      <c r="F20" s="7"/>
      <c r="G20" s="37"/>
      <c r="I20" s="7" t="str">
        <f>CALC!G27</f>
        <v>Pressure drop</v>
      </c>
      <c r="J20" s="7" t="str">
        <f>CALC!I27</f>
        <v>FLEXALEN pipes only</v>
      </c>
      <c r="K20" s="48">
        <f>CALC!H27</f>
        <v>0</v>
      </c>
    </row>
    <row r="21" spans="2:12" ht="13.5" thickTop="1" x14ac:dyDescent="0.2">
      <c r="I21" s="5" t="str">
        <f>CALC!G28</f>
        <v>Reserve press.</v>
      </c>
      <c r="J21" s="7" t="str">
        <f>CALC!I28</f>
        <v>at Service Temperature</v>
      </c>
      <c r="K21" s="48">
        <f>CALC!H28</f>
        <v>16.388449863675987</v>
      </c>
    </row>
    <row r="22" spans="2:12" x14ac:dyDescent="0.2">
      <c r="K22" s="47"/>
    </row>
    <row r="23" spans="2:12" x14ac:dyDescent="0.2">
      <c r="I23" s="7" t="str">
        <f>CALC!G21</f>
        <v>Soil temperature</v>
      </c>
      <c r="J23" s="7"/>
      <c r="K23" s="49">
        <f>CALC!H21</f>
        <v>10</v>
      </c>
    </row>
    <row r="24" spans="2:12" ht="14.25" customHeight="1" x14ac:dyDescent="0.2">
      <c r="I24" s="5" t="str">
        <f>CALC!G22</f>
        <v>Coverage</v>
      </c>
      <c r="K24" s="45">
        <f>CALC!H22</f>
        <v>800</v>
      </c>
    </row>
    <row r="25" spans="2:12" ht="13.5" customHeight="1" x14ac:dyDescent="0.2">
      <c r="I25" s="5" t="str">
        <f>CALC!G23</f>
        <v>Lambda soil</v>
      </c>
      <c r="K25" s="50">
        <f>CALC!H23</f>
        <v>1</v>
      </c>
    </row>
    <row r="26" spans="2:12" ht="16.5" customHeight="1" x14ac:dyDescent="0.35">
      <c r="D26" s="7"/>
      <c r="E26" s="6"/>
      <c r="F26" s="7"/>
      <c r="I26" s="5" t="str">
        <f>CALC!J21</f>
        <v>Temperature drop Flow</v>
      </c>
      <c r="K26" s="141" t="str">
        <f>CALC!L21</f>
        <v>Choose product</v>
      </c>
    </row>
    <row r="27" spans="2:12" x14ac:dyDescent="0.2">
      <c r="I27" s="5" t="str">
        <f>CALC!J22</f>
        <v>Trench Length</v>
      </c>
      <c r="K27" s="51">
        <f>CALC!L22</f>
        <v>0</v>
      </c>
    </row>
    <row r="28" spans="2:12" x14ac:dyDescent="0.2">
      <c r="I28" s="5" t="str">
        <f>CALC!J23</f>
        <v>Dwell time Flow</v>
      </c>
      <c r="K28" s="52">
        <f>CALC!L23</f>
        <v>0</v>
      </c>
    </row>
    <row r="29" spans="2:12" x14ac:dyDescent="0.2">
      <c r="I29" s="5" t="str">
        <f>CALC!G10</f>
        <v>NET VOLUME</v>
      </c>
      <c r="K29" s="53">
        <f>CALC!I10</f>
        <v>0</v>
      </c>
    </row>
    <row r="31" spans="2:12" ht="15" x14ac:dyDescent="0.25">
      <c r="I31" s="147" t="str">
        <f>HLOOKUP(CALC!$K$32,Language!$A:$Y,80,0)</f>
        <v>FLEXALEN Product</v>
      </c>
      <c r="K31" s="331">
        <f>CALC!D30</f>
        <v>0</v>
      </c>
    </row>
    <row r="32" spans="2:12" ht="15" x14ac:dyDescent="0.25">
      <c r="I32" s="147" t="str">
        <f>HLOOKUP(CALC!$K$32,Language!$A:$Y,81,0)</f>
        <v>Quantity</v>
      </c>
      <c r="K32" s="332" t="e">
        <f>IF(OR(CALC!$G$29="e",AND(CALC!$G$29="d",VLOOKUP(K31,PARAMETER_HL!E:Z,22,0)="d")),CALC!D14,2*CALC!D14)</f>
        <v>#N/A</v>
      </c>
      <c r="L32" s="146"/>
    </row>
  </sheetData>
  <sheetProtection password="C77F" sheet="1" scenarios="1" selectLockedCells="1"/>
  <customSheetViews>
    <customSheetView guid="{D3C035BD-38DA-40E9-B8C6-982F4670808B}" fitToPage="1">
      <selection activeCell="D32" sqref="D32"/>
      <pageMargins left="0.74803149606299213" right="0.9055118110236221" top="0.98425196850393704" bottom="0.98425196850393704" header="0.51181102362204722" footer="0.51181102362204722"/>
      <pageSetup paperSize="9" scale="87" orientation="landscape" horizontalDpi="300" verticalDpi="300" r:id="rId1"/>
      <headerFooter alignWithMargins="0">
        <oddFooter>&amp;C&amp;D</oddFooter>
      </headerFooter>
    </customSheetView>
  </customSheetViews>
  <phoneticPr fontId="0" type="noConversion"/>
  <pageMargins left="0.74803149606299213" right="0.9055118110236221" top="0.98425196850393704" bottom="0.98425196850393704" header="0.51181102362204722" footer="0.51181102362204722"/>
  <pageSetup paperSize="9" scale="85" orientation="landscape" horizontalDpi="300" verticalDpi="300" r:id="rId2"/>
  <headerFooter alignWithMargins="0">
    <oddFooter>&amp;C&amp;D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9:D40"/>
  <sheetViews>
    <sheetView workbookViewId="0">
      <selection activeCell="F20" sqref="F20"/>
    </sheetView>
  </sheetViews>
  <sheetFormatPr defaultRowHeight="12.75" x14ac:dyDescent="0.2"/>
  <cols>
    <col min="1" max="1" width="18.140625" customWidth="1"/>
    <col min="2" max="2" width="17.28515625" bestFit="1" customWidth="1"/>
    <col min="3" max="3" width="15.140625" bestFit="1" customWidth="1"/>
    <col min="4" max="4" width="17.5703125" bestFit="1" customWidth="1"/>
  </cols>
  <sheetData>
    <row r="9" spans="1:4" ht="12.75" customHeight="1" thickBot="1" x14ac:dyDescent="0.25">
      <c r="A9">
        <f>CALC!D30</f>
        <v>0</v>
      </c>
      <c r="B9">
        <f>PARAMETER_R!C28</f>
        <v>0</v>
      </c>
      <c r="C9" t="e">
        <f>CALC!#REF!</f>
        <v>#REF!</v>
      </c>
      <c r="D9" t="e">
        <f>B9*C9</f>
        <v>#REF!</v>
      </c>
    </row>
    <row r="10" spans="1:4" s="58" customFormat="1" ht="13.5" thickBot="1" x14ac:dyDescent="0.25">
      <c r="A10" s="246" t="s">
        <v>879</v>
      </c>
      <c r="B10" s="248" t="s">
        <v>882</v>
      </c>
      <c r="C10" s="247" t="s">
        <v>880</v>
      </c>
      <c r="D10" s="247" t="s">
        <v>881</v>
      </c>
    </row>
    <row r="11" spans="1:4" x14ac:dyDescent="0.2">
      <c r="A11" s="245"/>
      <c r="B11" s="245"/>
      <c r="C11" s="245"/>
      <c r="D11" s="245"/>
    </row>
    <row r="12" spans="1:4" x14ac:dyDescent="0.2">
      <c r="A12" s="244"/>
      <c r="B12" s="244"/>
      <c r="C12" s="244"/>
      <c r="D12" s="244"/>
    </row>
    <row r="13" spans="1:4" x14ac:dyDescent="0.2">
      <c r="A13" s="244"/>
      <c r="B13" s="244"/>
      <c r="C13" s="244"/>
      <c r="D13" s="244"/>
    </row>
    <row r="14" spans="1:4" x14ac:dyDescent="0.2">
      <c r="A14" s="244"/>
      <c r="B14" s="244"/>
      <c r="C14" s="244"/>
      <c r="D14" s="244"/>
    </row>
    <row r="15" spans="1:4" x14ac:dyDescent="0.2">
      <c r="A15" s="244"/>
      <c r="B15" s="244"/>
      <c r="C15" s="244"/>
      <c r="D15" s="244"/>
    </row>
    <row r="16" spans="1:4" x14ac:dyDescent="0.2">
      <c r="A16" s="244"/>
      <c r="B16" s="244"/>
      <c r="C16" s="244"/>
      <c r="D16" s="244"/>
    </row>
    <row r="17" spans="1:4" x14ac:dyDescent="0.2">
      <c r="A17" s="244"/>
      <c r="B17" s="244"/>
      <c r="C17" s="244"/>
      <c r="D17" s="244"/>
    </row>
    <row r="18" spans="1:4" x14ac:dyDescent="0.2">
      <c r="A18" s="244"/>
      <c r="B18" s="244"/>
      <c r="C18" s="244"/>
      <c r="D18" s="244"/>
    </row>
    <row r="19" spans="1:4" x14ac:dyDescent="0.2">
      <c r="A19" s="244"/>
      <c r="B19" s="244"/>
      <c r="C19" s="244"/>
      <c r="D19" s="244"/>
    </row>
    <row r="20" spans="1:4" x14ac:dyDescent="0.2">
      <c r="A20" s="244"/>
      <c r="B20" s="244"/>
      <c r="C20" s="244"/>
      <c r="D20" s="244"/>
    </row>
    <row r="21" spans="1:4" x14ac:dyDescent="0.2">
      <c r="A21" s="244"/>
      <c r="B21" s="244"/>
      <c r="C21" s="244"/>
      <c r="D21" s="244"/>
    </row>
    <row r="22" spans="1:4" x14ac:dyDescent="0.2">
      <c r="A22" s="244"/>
      <c r="B22" s="244"/>
      <c r="C22" s="244"/>
      <c r="D22" s="244"/>
    </row>
    <row r="23" spans="1:4" x14ac:dyDescent="0.2">
      <c r="A23" s="244"/>
      <c r="B23" s="244"/>
      <c r="C23" s="244"/>
      <c r="D23" s="244"/>
    </row>
    <row r="24" spans="1:4" x14ac:dyDescent="0.2">
      <c r="A24" s="244"/>
      <c r="B24" s="244"/>
      <c r="C24" s="244"/>
      <c r="D24" s="244"/>
    </row>
    <row r="25" spans="1:4" x14ac:dyDescent="0.2">
      <c r="A25" s="244"/>
      <c r="B25" s="244"/>
      <c r="C25" s="244"/>
      <c r="D25" s="244"/>
    </row>
    <row r="26" spans="1:4" x14ac:dyDescent="0.2">
      <c r="A26" s="244"/>
      <c r="B26" s="244"/>
      <c r="C26" s="244"/>
      <c r="D26" s="244"/>
    </row>
    <row r="27" spans="1:4" x14ac:dyDescent="0.2">
      <c r="A27" s="244"/>
      <c r="B27" s="244"/>
      <c r="C27" s="244"/>
      <c r="D27" s="244"/>
    </row>
    <row r="28" spans="1:4" x14ac:dyDescent="0.2">
      <c r="A28" s="244"/>
      <c r="B28" s="244"/>
      <c r="C28" s="244"/>
      <c r="D28" s="244"/>
    </row>
    <row r="29" spans="1:4" x14ac:dyDescent="0.2">
      <c r="A29" s="244"/>
      <c r="B29" s="244"/>
      <c r="C29" s="244"/>
      <c r="D29" s="244"/>
    </row>
    <row r="30" spans="1:4" x14ac:dyDescent="0.2">
      <c r="A30" s="244"/>
      <c r="B30" s="244"/>
      <c r="C30" s="244"/>
      <c r="D30" s="244"/>
    </row>
    <row r="31" spans="1:4" x14ac:dyDescent="0.2">
      <c r="A31" s="244"/>
      <c r="B31" s="244"/>
      <c r="C31" s="244"/>
      <c r="D31" s="244"/>
    </row>
    <row r="32" spans="1:4" x14ac:dyDescent="0.2">
      <c r="A32" s="244"/>
      <c r="B32" s="244"/>
      <c r="C32" s="244"/>
      <c r="D32" s="244"/>
    </row>
    <row r="33" spans="1:4" x14ac:dyDescent="0.2">
      <c r="A33" s="244"/>
      <c r="B33" s="244"/>
      <c r="C33" s="244"/>
      <c r="D33" s="244"/>
    </row>
    <row r="34" spans="1:4" x14ac:dyDescent="0.2">
      <c r="A34" s="244"/>
      <c r="B34" s="244"/>
      <c r="C34" s="244"/>
      <c r="D34" s="244"/>
    </row>
    <row r="35" spans="1:4" x14ac:dyDescent="0.2">
      <c r="A35" s="244"/>
      <c r="B35" s="244"/>
      <c r="C35" s="244"/>
      <c r="D35" s="244"/>
    </row>
    <row r="36" spans="1:4" x14ac:dyDescent="0.2">
      <c r="A36" s="244"/>
      <c r="B36" s="244"/>
      <c r="C36" s="244"/>
      <c r="D36" s="244"/>
    </row>
    <row r="37" spans="1:4" x14ac:dyDescent="0.2">
      <c r="A37" s="244"/>
      <c r="B37" s="244"/>
      <c r="C37" s="244"/>
      <c r="D37" s="244"/>
    </row>
    <row r="38" spans="1:4" x14ac:dyDescent="0.2">
      <c r="A38" s="244"/>
      <c r="B38" s="244"/>
      <c r="C38" s="244"/>
      <c r="D38" s="244"/>
    </row>
    <row r="39" spans="1:4" x14ac:dyDescent="0.2">
      <c r="A39" s="244"/>
      <c r="B39" s="244"/>
      <c r="C39" s="244"/>
      <c r="D39" s="244"/>
    </row>
    <row r="40" spans="1:4" x14ac:dyDescent="0.2">
      <c r="A40" s="244"/>
      <c r="B40" s="244"/>
      <c r="C40" s="244"/>
      <c r="D40" s="24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Line="0" autoPict="0" macro="[0]!Copydata" altText="O_x000a_">
                <anchor moveWithCells="1" sizeWithCells="1">
                  <from>
                    <xdr:col>5</xdr:col>
                    <xdr:colOff>0</xdr:colOff>
                    <xdr:row>10</xdr:row>
                    <xdr:rowOff>133350</xdr:rowOff>
                  </from>
                  <to>
                    <xdr:col>6</xdr:col>
                    <xdr:colOff>314325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4" name="Button 4">
              <controlPr defaultSize="0" print="0" autoFill="0" autoLine="0" autoPict="0" macro="[0]!_xludf.Clear" altText="O_x000a_">
                <anchor moveWithCells="1" sizeWithCells="1">
                  <from>
                    <xdr:col>5</xdr:col>
                    <xdr:colOff>9525</xdr:colOff>
                    <xdr:row>13</xdr:row>
                    <xdr:rowOff>9525</xdr:rowOff>
                  </from>
                  <to>
                    <xdr:col>6</xdr:col>
                    <xdr:colOff>323850</xdr:colOff>
                    <xdr:row>14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M33"/>
  <sheetViews>
    <sheetView zoomScaleNormal="100" workbookViewId="0">
      <selection activeCell="E29" sqref="E29"/>
    </sheetView>
  </sheetViews>
  <sheetFormatPr defaultColWidth="11.42578125" defaultRowHeight="12.75" x14ac:dyDescent="0.2"/>
  <cols>
    <col min="1" max="1" width="24.85546875" style="39" bestFit="1" customWidth="1"/>
    <col min="2" max="16384" width="11.42578125" style="39"/>
  </cols>
  <sheetData>
    <row r="1" spans="1:13" ht="13.5" thickTop="1" x14ac:dyDescent="0.2">
      <c r="A1" s="152" t="s">
        <v>10</v>
      </c>
      <c r="B1" s="153">
        <v>1.83</v>
      </c>
      <c r="C1" s="172" t="s">
        <v>511</v>
      </c>
      <c r="D1" s="172"/>
      <c r="E1" s="172"/>
      <c r="F1" s="172"/>
      <c r="G1" s="172" t="s">
        <v>512</v>
      </c>
      <c r="I1" s="172">
        <v>1.008</v>
      </c>
      <c r="J1" s="38" t="s">
        <v>513</v>
      </c>
      <c r="L1" s="38">
        <v>0.75</v>
      </c>
    </row>
    <row r="2" spans="1:13" x14ac:dyDescent="0.2">
      <c r="A2" s="154" t="s">
        <v>11</v>
      </c>
      <c r="B2" s="155">
        <v>1.02</v>
      </c>
      <c r="C2" s="172" t="s">
        <v>514</v>
      </c>
      <c r="D2" s="172"/>
      <c r="E2" s="172"/>
      <c r="F2" s="41"/>
      <c r="G2" s="172" t="s">
        <v>515</v>
      </c>
      <c r="I2" s="41">
        <v>1E-4</v>
      </c>
      <c r="J2" s="38" t="s">
        <v>516</v>
      </c>
      <c r="L2" s="38">
        <v>125</v>
      </c>
    </row>
    <row r="3" spans="1:13" ht="13.5" thickBot="1" x14ac:dyDescent="0.25">
      <c r="A3" s="154" t="s">
        <v>12</v>
      </c>
      <c r="B3" s="156">
        <v>0.98</v>
      </c>
      <c r="C3" s="172" t="s">
        <v>517</v>
      </c>
      <c r="D3" s="172"/>
      <c r="E3" s="172"/>
      <c r="F3" s="172"/>
      <c r="G3" s="172" t="s">
        <v>518</v>
      </c>
      <c r="I3" s="41">
        <v>10</v>
      </c>
      <c r="J3" s="38" t="s">
        <v>519</v>
      </c>
      <c r="L3" s="38">
        <v>10</v>
      </c>
    </row>
    <row r="4" spans="1:13" ht="13.5" thickBot="1" x14ac:dyDescent="0.25">
      <c r="A4" s="157" t="s">
        <v>13</v>
      </c>
      <c r="B4" s="158"/>
      <c r="C4" s="158"/>
      <c r="D4" s="158"/>
      <c r="E4" s="158"/>
      <c r="F4" s="158"/>
      <c r="G4" s="158" t="s">
        <v>510</v>
      </c>
      <c r="H4" s="158"/>
      <c r="I4" s="159"/>
      <c r="J4" s="159" t="s">
        <v>14</v>
      </c>
      <c r="K4" s="181"/>
    </row>
    <row r="5" spans="1:13" ht="14.25" thickTop="1" thickBot="1" x14ac:dyDescent="0.25">
      <c r="A5" s="160" t="s">
        <v>15</v>
      </c>
      <c r="B5" s="161" t="s">
        <v>507</v>
      </c>
      <c r="C5" s="162">
        <v>21325</v>
      </c>
      <c r="D5" s="162" t="s">
        <v>9</v>
      </c>
      <c r="E5" s="163" t="s">
        <v>508</v>
      </c>
      <c r="F5" s="163">
        <f>4^(1/7)</f>
        <v>1.2190136542044754</v>
      </c>
      <c r="G5" s="163" t="s">
        <v>509</v>
      </c>
      <c r="H5" s="163">
        <v>8</v>
      </c>
      <c r="I5" s="164"/>
      <c r="J5" s="164">
        <v>1</v>
      </c>
      <c r="K5" s="182" t="s">
        <v>16</v>
      </c>
    </row>
    <row r="6" spans="1:13" x14ac:dyDescent="0.2">
      <c r="A6" s="165" t="s">
        <v>7</v>
      </c>
      <c r="B6" s="166" t="s">
        <v>8</v>
      </c>
      <c r="C6" s="166" t="s">
        <v>9</v>
      </c>
      <c r="D6" s="167" t="s">
        <v>17</v>
      </c>
      <c r="E6" s="167" t="s">
        <v>18</v>
      </c>
      <c r="F6" s="167" t="s">
        <v>19</v>
      </c>
      <c r="G6" s="167" t="s">
        <v>20</v>
      </c>
      <c r="H6" s="167" t="s">
        <v>21</v>
      </c>
      <c r="I6" s="168" t="s">
        <v>22</v>
      </c>
      <c r="J6" s="168" t="s">
        <v>23</v>
      </c>
      <c r="K6" s="180" t="s">
        <v>24</v>
      </c>
    </row>
    <row r="7" spans="1:13" x14ac:dyDescent="0.2">
      <c r="A7" s="165">
        <v>16</v>
      </c>
      <c r="B7" s="166">
        <v>11.6</v>
      </c>
      <c r="C7" s="166">
        <f>$C$5/(B7^$F$5)</f>
        <v>1074.7320903645364</v>
      </c>
      <c r="D7" s="167">
        <f t="shared" ref="D7:D21" si="0">((B7/2)^2*3.14*H7)/1000</f>
        <v>9.2954048000000011E-2</v>
      </c>
      <c r="E7" s="167">
        <f t="shared" ref="E7:E21" si="1">((B7/2)^2*3.14*I7)/1000</f>
        <v>6.3905908000000011E-2</v>
      </c>
      <c r="F7" s="167">
        <f t="shared" ref="F7:F21" si="2">((B7/2)^2*3.14*G7)/1000</f>
        <v>3.1688880000000003E-3</v>
      </c>
      <c r="G7" s="168">
        <v>0.03</v>
      </c>
      <c r="H7" s="167">
        <v>0.88000000000000012</v>
      </c>
      <c r="I7" s="167">
        <v>0.60500000000000009</v>
      </c>
      <c r="J7" s="168">
        <v>0.01</v>
      </c>
      <c r="K7" s="183">
        <f t="shared" ref="K7:K19" si="3">(J8*1000)/((B7/2)^2*3.14)</f>
        <v>1.0714863258026162</v>
      </c>
      <c r="L7" s="184"/>
      <c r="M7"/>
    </row>
    <row r="8" spans="1:13" x14ac:dyDescent="0.2">
      <c r="A8" s="165">
        <v>20</v>
      </c>
      <c r="B8" s="166">
        <v>14.4</v>
      </c>
      <c r="C8" s="166">
        <f>$C$5/(B8^$F$5)</f>
        <v>825.71342453276043</v>
      </c>
      <c r="D8" s="167">
        <f t="shared" si="0"/>
        <v>0.17905536000000002</v>
      </c>
      <c r="E8" s="167">
        <f t="shared" si="1"/>
        <v>0.11638598400000003</v>
      </c>
      <c r="F8" s="167">
        <f t="shared" si="2"/>
        <v>4.5577728000000005E-2</v>
      </c>
      <c r="G8" s="167">
        <v>0.28000000000000003</v>
      </c>
      <c r="H8" s="167">
        <v>1.1000000000000001</v>
      </c>
      <c r="I8" s="167">
        <v>0.71500000000000008</v>
      </c>
      <c r="J8" s="167">
        <v>0.11318067200000002</v>
      </c>
      <c r="K8" s="183">
        <f t="shared" si="3"/>
        <v>1.3921875000000001</v>
      </c>
      <c r="L8" s="184"/>
      <c r="M8" s="54"/>
    </row>
    <row r="9" spans="1:13" x14ac:dyDescent="0.2">
      <c r="A9" s="165">
        <v>25</v>
      </c>
      <c r="B9" s="166">
        <v>20.399999999999999</v>
      </c>
      <c r="C9" s="166">
        <f t="shared" ref="C9:C21" si="4">$C$5/(B9^$F$5)</f>
        <v>540.04752961653776</v>
      </c>
      <c r="D9" s="167">
        <f t="shared" si="0"/>
        <v>0.39528957600000003</v>
      </c>
      <c r="E9" s="167">
        <f t="shared" si="1"/>
        <v>0.25873499519999998</v>
      </c>
      <c r="F9" s="167">
        <f t="shared" si="2"/>
        <v>0.10453939199999999</v>
      </c>
      <c r="G9" s="167">
        <v>0.32</v>
      </c>
      <c r="H9" s="167">
        <v>1.2100000000000002</v>
      </c>
      <c r="I9" s="167">
        <v>0.79200000000000004</v>
      </c>
      <c r="J9" s="167">
        <v>0.22661694000000002</v>
      </c>
      <c r="K9" s="167">
        <f t="shared" si="3"/>
        <v>1.2100000000000002</v>
      </c>
      <c r="L9" s="184"/>
      <c r="M9" s="54"/>
    </row>
    <row r="10" spans="1:13" x14ac:dyDescent="0.2">
      <c r="A10" s="165">
        <v>32</v>
      </c>
      <c r="B10" s="166">
        <v>26</v>
      </c>
      <c r="C10" s="166">
        <f t="shared" si="4"/>
        <v>401.80673157834582</v>
      </c>
      <c r="D10" s="167">
        <f t="shared" si="0"/>
        <v>0.70047119999999996</v>
      </c>
      <c r="E10" s="167">
        <f t="shared" si="1"/>
        <v>0.4582249100000001</v>
      </c>
      <c r="F10" s="167">
        <f t="shared" si="2"/>
        <v>0.19634419999999997</v>
      </c>
      <c r="G10" s="167">
        <v>0.37</v>
      </c>
      <c r="H10" s="167">
        <v>1.32</v>
      </c>
      <c r="I10" s="167">
        <v>0.86350000000000016</v>
      </c>
      <c r="J10" s="167">
        <v>0.39528957600000003</v>
      </c>
      <c r="K10" s="167">
        <f t="shared" si="3"/>
        <v>1.32</v>
      </c>
      <c r="L10" s="184"/>
      <c r="M10" s="54"/>
    </row>
    <row r="11" spans="1:13" x14ac:dyDescent="0.2">
      <c r="A11" s="165">
        <v>40</v>
      </c>
      <c r="B11" s="166">
        <v>32.6</v>
      </c>
      <c r="C11" s="166">
        <f t="shared" si="4"/>
        <v>304.9693004628171</v>
      </c>
      <c r="D11" s="167">
        <f t="shared" si="0"/>
        <v>1.1930012380000004</v>
      </c>
      <c r="E11" s="167">
        <f t="shared" si="1"/>
        <v>0.80298160250000017</v>
      </c>
      <c r="F11" s="167">
        <f t="shared" si="2"/>
        <v>0.37541997000000005</v>
      </c>
      <c r="G11" s="167">
        <v>0.45</v>
      </c>
      <c r="H11" s="167">
        <v>1.4300000000000002</v>
      </c>
      <c r="I11" s="167">
        <v>0.96250000000000013</v>
      </c>
      <c r="J11" s="167">
        <v>0.70047119999999996</v>
      </c>
      <c r="K11" s="167">
        <f t="shared" si="3"/>
        <v>1.4300000000000004</v>
      </c>
      <c r="L11" s="184"/>
      <c r="M11" s="54" t="s">
        <v>27</v>
      </c>
    </row>
    <row r="12" spans="1:13" x14ac:dyDescent="0.2">
      <c r="A12" s="165">
        <v>50</v>
      </c>
      <c r="B12" s="166">
        <v>40.799999999999997</v>
      </c>
      <c r="C12" s="166">
        <f t="shared" si="4"/>
        <v>231.99162596060424</v>
      </c>
      <c r="D12" s="167">
        <f t="shared" si="0"/>
        <v>2.0123832959999999</v>
      </c>
      <c r="E12" s="167">
        <f t="shared" si="1"/>
        <v>1.3655458079999998</v>
      </c>
      <c r="F12" s="167">
        <f t="shared" si="2"/>
        <v>0.65337119999999993</v>
      </c>
      <c r="G12" s="167">
        <v>0.5</v>
      </c>
      <c r="H12" s="167">
        <v>1.54</v>
      </c>
      <c r="I12" s="167">
        <v>1.0449999999999999</v>
      </c>
      <c r="J12" s="167">
        <v>1.1930012380000004</v>
      </c>
      <c r="K12" s="167">
        <f t="shared" si="3"/>
        <v>1.54</v>
      </c>
      <c r="L12" s="184"/>
      <c r="M12" s="54"/>
    </row>
    <row r="13" spans="1:13" x14ac:dyDescent="0.2">
      <c r="A13" s="165">
        <v>63</v>
      </c>
      <c r="B13" s="166">
        <v>51.5</v>
      </c>
      <c r="C13" s="166">
        <f t="shared" si="4"/>
        <v>174.6516344511125</v>
      </c>
      <c r="D13" s="167">
        <f t="shared" si="0"/>
        <v>3.6643486000000007</v>
      </c>
      <c r="E13" s="167">
        <f t="shared" si="1"/>
        <v>2.5192396625000004</v>
      </c>
      <c r="F13" s="167">
        <f t="shared" si="2"/>
        <v>1.2492097499999999</v>
      </c>
      <c r="G13" s="167">
        <v>0.6</v>
      </c>
      <c r="H13" s="167">
        <v>1.7600000000000002</v>
      </c>
      <c r="I13" s="167">
        <v>1.2100000000000002</v>
      </c>
      <c r="J13" s="167">
        <v>2.0123832959999999</v>
      </c>
      <c r="K13" s="167">
        <f t="shared" si="3"/>
        <v>1.7600000000000002</v>
      </c>
      <c r="L13" s="184"/>
      <c r="M13" s="54"/>
    </row>
    <row r="14" spans="1:13" x14ac:dyDescent="0.2">
      <c r="A14" s="165">
        <v>75</v>
      </c>
      <c r="B14" s="166">
        <v>61.2</v>
      </c>
      <c r="C14" s="166">
        <f t="shared" si="4"/>
        <v>141.51897017383027</v>
      </c>
      <c r="D14" s="167">
        <f t="shared" si="0"/>
        <v>5.8215373920000015</v>
      </c>
      <c r="E14" s="167">
        <f t="shared" si="1"/>
        <v>3.9618796140000008</v>
      </c>
      <c r="F14" s="167">
        <f t="shared" si="2"/>
        <v>1.9111107600000004</v>
      </c>
      <c r="G14" s="167">
        <v>0.65</v>
      </c>
      <c r="H14" s="167">
        <v>1.9800000000000002</v>
      </c>
      <c r="I14" s="167">
        <v>1.3475000000000001</v>
      </c>
      <c r="J14" s="167">
        <v>3.6643486000000007</v>
      </c>
      <c r="K14" s="167">
        <f t="shared" si="3"/>
        <v>1.98</v>
      </c>
      <c r="L14" s="184"/>
      <c r="M14" s="54"/>
    </row>
    <row r="15" spans="1:13" x14ac:dyDescent="0.2">
      <c r="A15" s="165">
        <v>90</v>
      </c>
      <c r="B15" s="166">
        <v>73.599999999999994</v>
      </c>
      <c r="C15" s="166">
        <f t="shared" si="4"/>
        <v>113.0158858314764</v>
      </c>
      <c r="D15" s="167">
        <f t="shared" si="0"/>
        <v>9.3550899200000011</v>
      </c>
      <c r="E15" s="167">
        <f t="shared" si="1"/>
        <v>6.4316243200000001</v>
      </c>
      <c r="F15" s="167">
        <f t="shared" si="2"/>
        <v>3.1892351999999997</v>
      </c>
      <c r="G15" s="167">
        <v>0.75</v>
      </c>
      <c r="H15" s="167">
        <v>2.2000000000000002</v>
      </c>
      <c r="I15" s="167">
        <v>1.5125000000000002</v>
      </c>
      <c r="J15" s="167">
        <v>5.8215373920000015</v>
      </c>
      <c r="K15" s="167">
        <f t="shared" si="3"/>
        <v>2.2000000000000002</v>
      </c>
      <c r="L15" s="184"/>
      <c r="M15" s="54"/>
    </row>
    <row r="16" spans="1:13" x14ac:dyDescent="0.2">
      <c r="A16" s="165">
        <v>110</v>
      </c>
      <c r="B16" s="166">
        <v>90</v>
      </c>
      <c r="C16" s="166">
        <f t="shared" si="4"/>
        <v>88.43837156190547</v>
      </c>
      <c r="D16" s="167">
        <f t="shared" si="0"/>
        <v>16.087004999999998</v>
      </c>
      <c r="E16" s="167">
        <f t="shared" si="1"/>
        <v>11.016101250000002</v>
      </c>
      <c r="F16" s="167">
        <f t="shared" si="2"/>
        <v>5.4047249999999991</v>
      </c>
      <c r="G16" s="167">
        <v>0.85</v>
      </c>
      <c r="H16" s="167">
        <v>2.5299999999999998</v>
      </c>
      <c r="I16" s="167">
        <v>1.7325000000000002</v>
      </c>
      <c r="J16" s="167">
        <v>9.3550899200000011</v>
      </c>
      <c r="K16" s="167">
        <f t="shared" si="3"/>
        <v>2.5299999999999998</v>
      </c>
      <c r="L16" s="184"/>
      <c r="M16" s="54"/>
    </row>
    <row r="17" spans="1:13" x14ac:dyDescent="0.2">
      <c r="A17" s="165">
        <v>125</v>
      </c>
      <c r="B17" s="166">
        <v>102.2</v>
      </c>
      <c r="C17" s="166">
        <f t="shared" si="4"/>
        <v>75.742731052911211</v>
      </c>
      <c r="D17" s="167">
        <f t="shared" si="0"/>
        <v>22.547798350000004</v>
      </c>
      <c r="E17" s="167">
        <f t="shared" si="1"/>
        <v>15.332502878000003</v>
      </c>
      <c r="F17" s="167">
        <f t="shared" si="2"/>
        <v>7.3792794600000011</v>
      </c>
      <c r="G17" s="167">
        <v>0.9</v>
      </c>
      <c r="H17" s="167">
        <v>2.75</v>
      </c>
      <c r="I17" s="167">
        <v>1.87</v>
      </c>
      <c r="J17" s="167">
        <v>16.087004999999998</v>
      </c>
      <c r="K17" s="167">
        <f t="shared" si="3"/>
        <v>2.75</v>
      </c>
      <c r="L17" s="184"/>
      <c r="M17"/>
    </row>
    <row r="18" spans="1:13" x14ac:dyDescent="0.2">
      <c r="A18" s="165">
        <v>140</v>
      </c>
      <c r="B18" s="166">
        <v>114.6</v>
      </c>
      <c r="C18" s="166">
        <f t="shared" si="4"/>
        <v>65.874127253098592</v>
      </c>
      <c r="D18" s="167">
        <f t="shared" si="0"/>
        <v>29.485257515999997</v>
      </c>
      <c r="E18" s="167">
        <f t="shared" si="1"/>
        <v>20.412870587999997</v>
      </c>
      <c r="F18" s="167">
        <f t="shared" si="2"/>
        <v>10.309530599999999</v>
      </c>
      <c r="G18" s="167">
        <v>1</v>
      </c>
      <c r="H18" s="167">
        <v>2.8600000000000003</v>
      </c>
      <c r="I18" s="167">
        <v>1.9800000000000002</v>
      </c>
      <c r="J18" s="167">
        <v>22.547798350000004</v>
      </c>
      <c r="K18" s="167">
        <f t="shared" si="3"/>
        <v>2.8600000000000003</v>
      </c>
      <c r="L18" s="184"/>
    </row>
    <row r="19" spans="1:13" x14ac:dyDescent="0.2">
      <c r="A19" s="165">
        <v>160</v>
      </c>
      <c r="B19" s="166">
        <v>130.80000000000001</v>
      </c>
      <c r="C19" s="166">
        <f t="shared" si="4"/>
        <v>56.068030294156699</v>
      </c>
      <c r="D19" s="167">
        <f t="shared" si="0"/>
        <v>42.842600856000011</v>
      </c>
      <c r="E19" s="167">
        <f t="shared" si="1"/>
        <v>29.546621280000011</v>
      </c>
      <c r="F19" s="167">
        <f t="shared" si="2"/>
        <v>14.773310640000005</v>
      </c>
      <c r="G19" s="167">
        <v>1.1000000000000001</v>
      </c>
      <c r="H19" s="167">
        <v>3.19</v>
      </c>
      <c r="I19" s="167">
        <v>2.2000000000000002</v>
      </c>
      <c r="J19" s="167">
        <v>29.485257515999997</v>
      </c>
      <c r="K19" s="167">
        <f t="shared" si="3"/>
        <v>3.19</v>
      </c>
      <c r="L19" s="184"/>
    </row>
    <row r="20" spans="1:13" x14ac:dyDescent="0.2">
      <c r="A20" s="165">
        <v>225</v>
      </c>
      <c r="B20" s="166">
        <v>184</v>
      </c>
      <c r="C20" s="166">
        <f t="shared" si="4"/>
        <v>36.986666322575978</v>
      </c>
      <c r="D20" s="167">
        <f t="shared" si="0"/>
        <v>105.24476160000003</v>
      </c>
      <c r="E20" s="167">
        <f t="shared" si="1"/>
        <v>73.086640000000017</v>
      </c>
      <c r="F20" s="167">
        <f t="shared" si="2"/>
        <v>37.207743999999998</v>
      </c>
      <c r="G20" s="167">
        <v>1.4</v>
      </c>
      <c r="H20" s="167">
        <v>3.9600000000000004</v>
      </c>
      <c r="I20" s="167">
        <v>2.75</v>
      </c>
      <c r="J20" s="167">
        <v>42.842600856000011</v>
      </c>
      <c r="K20" s="167">
        <f>K19*(H20/H19)</f>
        <v>3.96</v>
      </c>
      <c r="L20" s="184"/>
    </row>
    <row r="21" spans="1:13" ht="13.5" thickBot="1" x14ac:dyDescent="0.25">
      <c r="A21" s="169">
        <v>250</v>
      </c>
      <c r="B21" s="170">
        <v>205</v>
      </c>
      <c r="C21" s="170">
        <f t="shared" si="4"/>
        <v>32.421232308136979</v>
      </c>
      <c r="D21" s="171">
        <f t="shared" si="0"/>
        <v>145.15434999999999</v>
      </c>
      <c r="E21" s="171">
        <f t="shared" si="1"/>
        <v>97.979186250000026</v>
      </c>
      <c r="F21" s="171">
        <f t="shared" si="2"/>
        <v>46.185474999999997</v>
      </c>
      <c r="G21" s="171">
        <v>1.4</v>
      </c>
      <c r="H21" s="171">
        <v>4.4000000000000004</v>
      </c>
      <c r="I21" s="171">
        <v>2.9700000000000006</v>
      </c>
      <c r="J21" s="171">
        <v>105.24476160000003</v>
      </c>
      <c r="K21" s="171"/>
    </row>
    <row r="22" spans="1:13" x14ac:dyDescent="0.2">
      <c r="A22" s="43"/>
      <c r="B22" s="40"/>
    </row>
    <row r="23" spans="1:13" x14ac:dyDescent="0.2">
      <c r="A23" s="43"/>
      <c r="B23" s="40"/>
    </row>
    <row r="24" spans="1:13" x14ac:dyDescent="0.2">
      <c r="A24" s="173"/>
      <c r="B24" s="174"/>
      <c r="C24" s="175" t="str">
        <f>CALC!G29</f>
        <v>E</v>
      </c>
      <c r="E24" s="173" t="s">
        <v>520</v>
      </c>
      <c r="F24" s="174"/>
      <c r="G24" s="185">
        <f>IF(CALC!D24&lt;L2,IF(I1=0,H5,(I1+(C25*I2))^(90-C25)*H5),G25)</f>
        <v>16.388449863675987</v>
      </c>
      <c r="H24" s="175" t="s">
        <v>242</v>
      </c>
    </row>
    <row r="25" spans="1:13" x14ac:dyDescent="0.2">
      <c r="A25" s="176" t="s">
        <v>0</v>
      </c>
      <c r="C25" s="177">
        <f>IF($C$24="E",CALC!D11,CALC!D11)</f>
        <v>0</v>
      </c>
      <c r="E25" s="186" t="s">
        <v>521</v>
      </c>
      <c r="F25" s="179"/>
      <c r="G25" s="187">
        <f>IF(((I1+(C25*I2))^(90-C25)*H5)*L1&lt;L3,((I1+(C25*I2))^(90-C25)*H5)*L1,L3)</f>
        <v>10</v>
      </c>
      <c r="H25" s="188" t="s">
        <v>242</v>
      </c>
    </row>
    <row r="26" spans="1:13" x14ac:dyDescent="0.2">
      <c r="A26" s="176" t="s">
        <v>1</v>
      </c>
      <c r="C26" s="177">
        <f>IF($C$24="E",0,CALC!D12)</f>
        <v>0</v>
      </c>
      <c r="G26" s="42"/>
    </row>
    <row r="27" spans="1:13" x14ac:dyDescent="0.2">
      <c r="A27" s="176" t="s">
        <v>2</v>
      </c>
      <c r="C27" s="267">
        <f>IF($C$24="E",0,CALC!D13)</f>
        <v>0</v>
      </c>
      <c r="G27" s="42"/>
    </row>
    <row r="28" spans="1:13" x14ac:dyDescent="0.2">
      <c r="A28" s="176" t="s">
        <v>3</v>
      </c>
      <c r="C28" s="267">
        <f>CALC!D14</f>
        <v>0</v>
      </c>
      <c r="G28" s="42"/>
    </row>
    <row r="29" spans="1:13" x14ac:dyDescent="0.2">
      <c r="A29" s="176" t="s">
        <v>25</v>
      </c>
      <c r="C29" s="267">
        <f>IF($C$24="E",0,CALC!D15)</f>
        <v>0</v>
      </c>
      <c r="G29" s="42"/>
    </row>
    <row r="30" spans="1:13" x14ac:dyDescent="0.2">
      <c r="A30" s="176" t="s">
        <v>4</v>
      </c>
      <c r="C30" s="267">
        <f>IF($C$24="E",CALC!D15,0)</f>
        <v>0</v>
      </c>
      <c r="G30" s="42"/>
    </row>
    <row r="31" spans="1:13" x14ac:dyDescent="0.2">
      <c r="A31" s="178" t="s">
        <v>26</v>
      </c>
      <c r="B31" s="179"/>
      <c r="C31" s="268">
        <f>CALC!D16</f>
        <v>0</v>
      </c>
      <c r="G31" s="42"/>
    </row>
    <row r="32" spans="1:13" x14ac:dyDescent="0.2">
      <c r="C32" s="15"/>
      <c r="G32" s="42"/>
    </row>
    <row r="33" spans="7:7" x14ac:dyDescent="0.2">
      <c r="G33" s="42"/>
    </row>
  </sheetData>
  <customSheetViews>
    <customSheetView guid="{D3C035BD-38DA-40E9-B8C6-982F4670808B}" scale="75" state="hidden">
      <selection activeCell="G8" sqref="G8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>
        <oddHeader>&amp;A</oddHeader>
        <oddFooter>Seite &amp;P</oddFooter>
      </headerFooter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M97"/>
  <sheetViews>
    <sheetView zoomScale="85" zoomScaleNormal="85" workbookViewId="0">
      <selection activeCell="Z4" sqref="Z4:Z88"/>
    </sheetView>
  </sheetViews>
  <sheetFormatPr defaultColWidth="11.42578125" defaultRowHeight="12.75" x14ac:dyDescent="0.2"/>
  <cols>
    <col min="1" max="1" width="12.28515625" bestFit="1" customWidth="1"/>
    <col min="3" max="3" width="8.42578125" bestFit="1" customWidth="1"/>
    <col min="4" max="4" width="11" bestFit="1" customWidth="1"/>
    <col min="5" max="5" width="14.7109375" bestFit="1" customWidth="1"/>
    <col min="6" max="6" width="9.140625" style="240" bestFit="1" customWidth="1"/>
    <col min="7" max="7" width="7.5703125" style="194" bestFit="1" customWidth="1"/>
    <col min="8" max="8" width="7.7109375" style="194" bestFit="1" customWidth="1"/>
    <col min="9" max="9" width="9.28515625" style="194" bestFit="1" customWidth="1"/>
    <col min="10" max="10" width="14.5703125" customWidth="1"/>
    <col min="11" max="11" width="5.85546875" customWidth="1"/>
    <col min="12" max="19" width="3.140625" customWidth="1"/>
    <col min="20" max="24" width="4.140625" customWidth="1"/>
    <col min="25" max="25" width="11.7109375" customWidth="1"/>
    <col min="26" max="26" width="14.7109375" bestFit="1" customWidth="1"/>
    <col min="27" max="30" width="13.140625" bestFit="1" customWidth="1"/>
    <col min="31" max="31" width="14.7109375" bestFit="1" customWidth="1"/>
    <col min="32" max="34" width="12.140625" bestFit="1" customWidth="1"/>
    <col min="35" max="35" width="13.7109375" bestFit="1" customWidth="1"/>
    <col min="36" max="37" width="12.140625" bestFit="1" customWidth="1"/>
    <col min="38" max="38" width="13.7109375" bestFit="1" customWidth="1"/>
    <col min="39" max="39" width="12.140625" bestFit="1" customWidth="1"/>
    <col min="40" max="40" width="13.7109375" bestFit="1" customWidth="1"/>
    <col min="41" max="42" width="12.140625" bestFit="1" customWidth="1"/>
    <col min="43" max="44" width="14.7109375" bestFit="1" customWidth="1"/>
    <col min="45" max="48" width="13.140625" bestFit="1" customWidth="1"/>
    <col min="49" max="50" width="14.7109375" bestFit="1" customWidth="1"/>
    <col min="51" max="54" width="13.140625" bestFit="1" customWidth="1"/>
    <col min="55" max="55" width="14.7109375" bestFit="1" customWidth="1"/>
    <col min="56" max="58" width="12.140625" bestFit="1" customWidth="1"/>
    <col min="59" max="59" width="13.7109375" bestFit="1" customWidth="1"/>
    <col min="60" max="60" width="12.140625" bestFit="1" customWidth="1"/>
    <col min="61" max="61" width="13.7109375" bestFit="1" customWidth="1"/>
    <col min="62" max="64" width="12.140625" bestFit="1" customWidth="1"/>
    <col min="65" max="65" width="11.7109375" bestFit="1" customWidth="1"/>
  </cols>
  <sheetData>
    <row r="1" spans="1:65" x14ac:dyDescent="0.2">
      <c r="A1" s="58">
        <f>CALC!D24</f>
        <v>16</v>
      </c>
      <c r="B1" s="58" t="str">
        <f>CALC!G29</f>
        <v>E</v>
      </c>
      <c r="J1" s="236" t="s">
        <v>848</v>
      </c>
      <c r="K1" s="237">
        <v>75</v>
      </c>
    </row>
    <row r="2" spans="1:65" x14ac:dyDescent="0.2">
      <c r="I2" s="199" t="s">
        <v>797</v>
      </c>
      <c r="J2" s="236" t="s">
        <v>873</v>
      </c>
      <c r="K2" t="s">
        <v>795</v>
      </c>
    </row>
    <row r="3" spans="1:65" s="58" customFormat="1" x14ac:dyDescent="0.2">
      <c r="A3" s="58" t="s">
        <v>848</v>
      </c>
      <c r="B3" s="58" t="s">
        <v>851</v>
      </c>
      <c r="C3" s="58" t="s">
        <v>873</v>
      </c>
      <c r="D3" s="58">
        <v>2</v>
      </c>
      <c r="E3" s="197" t="s">
        <v>850</v>
      </c>
      <c r="F3" s="241" t="s">
        <v>878</v>
      </c>
      <c r="G3" s="200" t="s">
        <v>798</v>
      </c>
      <c r="H3" s="200" t="s">
        <v>799</v>
      </c>
      <c r="I3" s="201" t="s">
        <v>849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 ht="15" x14ac:dyDescent="0.25">
      <c r="A4">
        <v>16</v>
      </c>
      <c r="B4" s="105" t="s">
        <v>852</v>
      </c>
      <c r="C4" s="105" t="s">
        <v>877</v>
      </c>
      <c r="D4" s="105"/>
      <c r="E4" s="195" t="s">
        <v>808</v>
      </c>
      <c r="F4" s="240" t="str">
        <f t="shared" ref="F4:F35" si="0">C4&amp;E4</f>
        <v>EVS-RH40A16</v>
      </c>
      <c r="G4" s="194">
        <v>0.19850592924534605</v>
      </c>
      <c r="H4" s="194">
        <v>-2.3108709427359466</v>
      </c>
      <c r="I4" s="194">
        <f>CALC!$D$11*G4+H4</f>
        <v>-2.3108709427359466</v>
      </c>
      <c r="J4" s="236" t="s">
        <v>876</v>
      </c>
      <c r="Z4">
        <f>D4</f>
        <v>0</v>
      </c>
    </row>
    <row r="5" spans="1:65" ht="15" x14ac:dyDescent="0.25">
      <c r="A5">
        <v>20</v>
      </c>
      <c r="B5" s="105" t="s">
        <v>852</v>
      </c>
      <c r="C5" s="105" t="s">
        <v>877</v>
      </c>
      <c r="D5" s="105"/>
      <c r="E5" s="195" t="s">
        <v>809</v>
      </c>
      <c r="F5" s="240" t="str">
        <f t="shared" si="0"/>
        <v>EVS-RH40A20</v>
      </c>
      <c r="G5" s="194">
        <v>0.25863235274269936</v>
      </c>
      <c r="H5" s="194">
        <v>-2.9822576472042375</v>
      </c>
      <c r="I5" s="194">
        <f>CALC!$D$11*G5+H5</f>
        <v>-2.9822576472042375</v>
      </c>
      <c r="J5" s="237" t="s">
        <v>815</v>
      </c>
      <c r="Z5">
        <f t="shared" ref="Z5:Z68" si="1">D5</f>
        <v>0</v>
      </c>
    </row>
    <row r="6" spans="1:65" ht="15" x14ac:dyDescent="0.25">
      <c r="A6">
        <v>25</v>
      </c>
      <c r="B6" s="105" t="s">
        <v>852</v>
      </c>
      <c r="C6" s="105" t="s">
        <v>877</v>
      </c>
      <c r="D6" s="105"/>
      <c r="E6" s="195" t="s">
        <v>810</v>
      </c>
      <c r="F6" s="240" t="str">
        <f t="shared" si="0"/>
        <v>EVS-RH50A25</v>
      </c>
      <c r="G6" s="194">
        <v>0.25850435964417173</v>
      </c>
      <c r="H6" s="194">
        <v>-2.9963558343333094</v>
      </c>
      <c r="I6" s="194">
        <f>CALC!$D$11*G6+H6</f>
        <v>-2.9963558343333094</v>
      </c>
      <c r="J6" s="237" t="s">
        <v>824</v>
      </c>
      <c r="Z6">
        <f t="shared" si="1"/>
        <v>0</v>
      </c>
    </row>
    <row r="7" spans="1:65" ht="15" x14ac:dyDescent="0.25">
      <c r="A7">
        <v>32</v>
      </c>
      <c r="B7" s="105" t="s">
        <v>852</v>
      </c>
      <c r="C7" s="105" t="s">
        <v>877</v>
      </c>
      <c r="D7" s="105"/>
      <c r="E7" s="195" t="s">
        <v>811</v>
      </c>
      <c r="F7" s="240" t="str">
        <f t="shared" si="0"/>
        <v>EVS-RH63A32</v>
      </c>
      <c r="G7" s="194">
        <v>0.26735982131770508</v>
      </c>
      <c r="H7" s="194">
        <v>-3.0968881813769222</v>
      </c>
      <c r="I7" s="194">
        <f>CALC!$D$11*G7+H7</f>
        <v>-3.0968881813769222</v>
      </c>
      <c r="J7" s="237" t="s">
        <v>805</v>
      </c>
      <c r="Z7">
        <f t="shared" si="1"/>
        <v>0</v>
      </c>
    </row>
    <row r="8" spans="1:65" ht="15" x14ac:dyDescent="0.25">
      <c r="A8">
        <v>40</v>
      </c>
      <c r="B8" s="105" t="s">
        <v>852</v>
      </c>
      <c r="C8" s="105" t="s">
        <v>877</v>
      </c>
      <c r="D8" s="105"/>
      <c r="E8" s="195" t="s">
        <v>812</v>
      </c>
      <c r="F8" s="240" t="str">
        <f t="shared" si="0"/>
        <v>EVS-RH75A40</v>
      </c>
      <c r="G8" s="194">
        <v>0.28761871400469063</v>
      </c>
      <c r="H8" s="194">
        <v>-3.3233884464766135</v>
      </c>
      <c r="I8" s="194">
        <f>CALC!$D$11*G8+H8</f>
        <v>-3.3233884464766135</v>
      </c>
      <c r="Z8">
        <f t="shared" si="1"/>
        <v>0</v>
      </c>
    </row>
    <row r="9" spans="1:65" ht="15" x14ac:dyDescent="0.25">
      <c r="A9">
        <v>50</v>
      </c>
      <c r="B9" s="105" t="s">
        <v>852</v>
      </c>
      <c r="C9" s="105" t="s">
        <v>877</v>
      </c>
      <c r="D9" s="105"/>
      <c r="E9" s="195" t="s">
        <v>813</v>
      </c>
      <c r="F9" s="240" t="str">
        <f t="shared" si="0"/>
        <v>EVS-RH125A50</v>
      </c>
      <c r="G9" s="194">
        <v>0.22767310219727896</v>
      </c>
      <c r="H9" s="194">
        <v>-2.6264909648584602</v>
      </c>
      <c r="I9" s="194">
        <f>CALC!$D$11*G9+H9</f>
        <v>-2.6264909648584602</v>
      </c>
      <c r="Z9">
        <f t="shared" si="1"/>
        <v>0</v>
      </c>
    </row>
    <row r="10" spans="1:65" ht="15" x14ac:dyDescent="0.25">
      <c r="A10">
        <v>63</v>
      </c>
      <c r="B10" s="105" t="s">
        <v>852</v>
      </c>
      <c r="C10" s="105" t="s">
        <v>877</v>
      </c>
      <c r="D10" s="105"/>
      <c r="E10" s="195" t="s">
        <v>814</v>
      </c>
      <c r="F10" s="240" t="str">
        <f t="shared" si="0"/>
        <v>EVS-RH125A63</v>
      </c>
      <c r="G10" s="194">
        <v>0.30155498665039154</v>
      </c>
      <c r="H10" s="194">
        <v>-3.4625138978535261</v>
      </c>
      <c r="I10" s="194">
        <f>CALC!$D$11*G10+H10</f>
        <v>-3.4625138978535261</v>
      </c>
      <c r="Z10">
        <f t="shared" si="1"/>
        <v>0</v>
      </c>
    </row>
    <row r="11" spans="1:65" ht="15" x14ac:dyDescent="0.25">
      <c r="A11">
        <v>75</v>
      </c>
      <c r="B11" s="105" t="s">
        <v>852</v>
      </c>
      <c r="C11" s="105" t="s">
        <v>877</v>
      </c>
      <c r="D11" s="105"/>
      <c r="E11" s="195" t="s">
        <v>815</v>
      </c>
      <c r="F11" s="240" t="str">
        <f t="shared" si="0"/>
        <v>EVS-RH125A75</v>
      </c>
      <c r="G11" s="194">
        <v>0.40031595515722251</v>
      </c>
      <c r="H11" s="194">
        <v>-4.5656851168467778</v>
      </c>
      <c r="I11" s="194">
        <f>CALC!$D$11*G11+H11</f>
        <v>-4.5656851168467778</v>
      </c>
      <c r="Z11">
        <f t="shared" si="1"/>
        <v>0</v>
      </c>
    </row>
    <row r="12" spans="1:65" ht="15" x14ac:dyDescent="0.25">
      <c r="A12">
        <v>90</v>
      </c>
      <c r="B12" s="105" t="s">
        <v>852</v>
      </c>
      <c r="C12" s="105" t="s">
        <v>877</v>
      </c>
      <c r="D12" s="105"/>
      <c r="E12" s="195" t="s">
        <v>816</v>
      </c>
      <c r="F12" s="240" t="str">
        <f t="shared" si="0"/>
        <v>EVS-RH160A90</v>
      </c>
      <c r="G12" s="194">
        <v>0.34835034346065957</v>
      </c>
      <c r="H12" s="194">
        <v>-3.9605053839944908</v>
      </c>
      <c r="I12" s="194">
        <f>CALC!$D$11*G12+H12</f>
        <v>-3.9605053839944908</v>
      </c>
      <c r="Z12">
        <f t="shared" si="1"/>
        <v>0</v>
      </c>
    </row>
    <row r="13" spans="1:65" ht="15" x14ac:dyDescent="0.25">
      <c r="A13">
        <v>110</v>
      </c>
      <c r="B13" s="105" t="s">
        <v>852</v>
      </c>
      <c r="C13" s="105" t="s">
        <v>877</v>
      </c>
      <c r="D13" s="105"/>
      <c r="E13" s="195" t="s">
        <v>215</v>
      </c>
      <c r="F13" s="240" t="str">
        <f t="shared" si="0"/>
        <v>EVS-R200A110</v>
      </c>
      <c r="G13" s="194">
        <v>0.36568301706896983</v>
      </c>
      <c r="H13" s="194">
        <v>-4.1193647278781569</v>
      </c>
      <c r="I13" s="194">
        <f>CALC!$D$11*G13+H13</f>
        <v>-4.1193647278781569</v>
      </c>
      <c r="Z13">
        <f t="shared" si="1"/>
        <v>0</v>
      </c>
    </row>
    <row r="14" spans="1:65" ht="15" x14ac:dyDescent="0.25">
      <c r="A14">
        <v>125</v>
      </c>
      <c r="B14" s="105" t="s">
        <v>852</v>
      </c>
      <c r="C14" s="105" t="s">
        <v>877</v>
      </c>
      <c r="D14" s="105"/>
      <c r="E14" s="195" t="s">
        <v>807</v>
      </c>
      <c r="F14" s="240" t="str">
        <f t="shared" si="0"/>
        <v>EVS-R200A125</v>
      </c>
      <c r="G14" s="194">
        <v>0.44383926716957151</v>
      </c>
      <c r="H14" s="194">
        <v>-4.9914259660093059</v>
      </c>
      <c r="I14" s="194">
        <f>CALC!$D$11*G14+H14</f>
        <v>-4.9914259660093059</v>
      </c>
      <c r="Z14">
        <f t="shared" si="1"/>
        <v>0</v>
      </c>
    </row>
    <row r="15" spans="1:65" x14ac:dyDescent="0.2">
      <c r="A15">
        <v>140</v>
      </c>
      <c r="B15" s="105" t="s">
        <v>852</v>
      </c>
      <c r="C15" s="105" t="s">
        <v>877</v>
      </c>
      <c r="D15" s="105"/>
      <c r="E15" s="196" t="s">
        <v>220</v>
      </c>
      <c r="F15" s="240" t="str">
        <f t="shared" si="0"/>
        <v>EFV-R225A140</v>
      </c>
      <c r="G15" s="194">
        <v>0.37736666666666668</v>
      </c>
      <c r="H15" s="194">
        <v>-3.6573333333333373</v>
      </c>
      <c r="I15" s="194">
        <f>CALC!$D$11*G15+H15</f>
        <v>-3.6573333333333373</v>
      </c>
      <c r="Z15">
        <f t="shared" si="1"/>
        <v>0</v>
      </c>
    </row>
    <row r="16" spans="1:65" x14ac:dyDescent="0.2">
      <c r="A16">
        <v>160</v>
      </c>
      <c r="B16" s="105" t="s">
        <v>852</v>
      </c>
      <c r="C16" s="105" t="s">
        <v>877</v>
      </c>
      <c r="D16" s="105"/>
      <c r="E16" s="196" t="s">
        <v>219</v>
      </c>
      <c r="F16" s="240" t="str">
        <f t="shared" si="0"/>
        <v>EFV-R250A160</v>
      </c>
      <c r="G16" s="194">
        <v>0.38654999999999995</v>
      </c>
      <c r="H16" s="194">
        <v>-3.4119999999999973</v>
      </c>
      <c r="I16" s="194">
        <f>CALC!$D$11*G16+H16</f>
        <v>-3.4119999999999973</v>
      </c>
      <c r="Z16">
        <f t="shared" si="1"/>
        <v>0</v>
      </c>
    </row>
    <row r="17" spans="1:26" x14ac:dyDescent="0.2">
      <c r="A17">
        <v>225</v>
      </c>
      <c r="B17" s="105" t="s">
        <v>852</v>
      </c>
      <c r="C17" s="105" t="s">
        <v>877</v>
      </c>
      <c r="D17" s="105"/>
      <c r="E17" s="196" t="s">
        <v>218</v>
      </c>
      <c r="F17" s="240" t="str">
        <f t="shared" si="0"/>
        <v>EFV-R315A225</v>
      </c>
      <c r="G17" s="194">
        <v>0.49095205000000003</v>
      </c>
      <c r="H17" s="194">
        <v>-4.2790409999999994</v>
      </c>
      <c r="I17" s="194">
        <f>CALC!$D$11*G17+H17</f>
        <v>-4.2790409999999994</v>
      </c>
      <c r="Z17">
        <f t="shared" si="1"/>
        <v>0</v>
      </c>
    </row>
    <row r="18" spans="1:26" ht="15" x14ac:dyDescent="0.25">
      <c r="A18">
        <v>16</v>
      </c>
      <c r="B18" s="105" t="s">
        <v>853</v>
      </c>
      <c r="C18" s="105" t="s">
        <v>877</v>
      </c>
      <c r="D18" s="105"/>
      <c r="E18" s="195" t="s">
        <v>817</v>
      </c>
      <c r="F18" s="240" t="str">
        <f t="shared" si="0"/>
        <v>EVS-RH75A16</v>
      </c>
      <c r="G18" s="194">
        <v>0.12250480310691797</v>
      </c>
      <c r="H18" s="194">
        <v>-1.4358157084926804</v>
      </c>
      <c r="I18" s="194">
        <f>CALC!$D$11*G18+H18</f>
        <v>-1.4358157084926804</v>
      </c>
      <c r="Z18">
        <f t="shared" si="1"/>
        <v>0</v>
      </c>
    </row>
    <row r="19" spans="1:26" ht="15" x14ac:dyDescent="0.25">
      <c r="A19">
        <v>20</v>
      </c>
      <c r="B19" s="105" t="s">
        <v>853</v>
      </c>
      <c r="C19" s="105" t="s">
        <v>877</v>
      </c>
      <c r="D19" s="105"/>
      <c r="E19" s="195" t="s">
        <v>818</v>
      </c>
      <c r="F19" s="240" t="str">
        <f t="shared" si="0"/>
        <v>EVS-RH90A20</v>
      </c>
      <c r="G19" s="194">
        <v>0.13028632319765804</v>
      </c>
      <c r="H19" s="194">
        <v>-1.5213213334294</v>
      </c>
      <c r="I19" s="194">
        <f>CALC!$D$11*G19+H19</f>
        <v>-1.5213213334294</v>
      </c>
      <c r="Z19">
        <f t="shared" si="1"/>
        <v>0</v>
      </c>
    </row>
    <row r="20" spans="1:26" ht="15" x14ac:dyDescent="0.25">
      <c r="A20">
        <v>25</v>
      </c>
      <c r="B20" s="105" t="s">
        <v>853</v>
      </c>
      <c r="C20" s="105" t="s">
        <v>877</v>
      </c>
      <c r="D20" s="105"/>
      <c r="E20" s="195" t="s">
        <v>819</v>
      </c>
      <c r="F20" s="240" t="str">
        <f t="shared" si="0"/>
        <v>EVS-RH90A25</v>
      </c>
      <c r="G20" s="194">
        <v>0.15413015251991005</v>
      </c>
      <c r="H20" s="194">
        <v>-1.7993220484861148</v>
      </c>
      <c r="I20" s="194">
        <f>CALC!$D$11*G20+H20</f>
        <v>-1.7993220484861148</v>
      </c>
      <c r="Z20">
        <f t="shared" si="1"/>
        <v>0</v>
      </c>
    </row>
    <row r="21" spans="1:26" ht="15" x14ac:dyDescent="0.25">
      <c r="A21">
        <v>32</v>
      </c>
      <c r="B21" s="105" t="s">
        <v>853</v>
      </c>
      <c r="C21" s="105" t="s">
        <v>877</v>
      </c>
      <c r="D21" s="105"/>
      <c r="E21" s="195" t="s">
        <v>820</v>
      </c>
      <c r="F21" s="240" t="str">
        <f t="shared" si="0"/>
        <v>EVS-RH125A32</v>
      </c>
      <c r="G21" s="194">
        <v>0.15554460385305838</v>
      </c>
      <c r="H21" s="194">
        <v>-1.8027407200957111</v>
      </c>
      <c r="I21" s="194">
        <f>CALC!$D$11*G21+H21</f>
        <v>-1.8027407200957111</v>
      </c>
      <c r="Z21">
        <f t="shared" si="1"/>
        <v>0</v>
      </c>
    </row>
    <row r="22" spans="1:26" ht="15" x14ac:dyDescent="0.25">
      <c r="A22">
        <v>40</v>
      </c>
      <c r="B22" s="105" t="s">
        <v>853</v>
      </c>
      <c r="C22" s="105" t="s">
        <v>877</v>
      </c>
      <c r="D22" s="105"/>
      <c r="E22" s="195" t="s">
        <v>821</v>
      </c>
      <c r="F22" s="240" t="str">
        <f t="shared" si="0"/>
        <v>EVS-RH125A40</v>
      </c>
      <c r="G22" s="194">
        <v>0.18476122260117747</v>
      </c>
      <c r="H22" s="194">
        <v>-2.1372426211114606</v>
      </c>
      <c r="I22" s="194">
        <f>CALC!$D$11*G22+H22</f>
        <v>-2.1372426211114606</v>
      </c>
      <c r="Z22">
        <f t="shared" si="1"/>
        <v>0</v>
      </c>
    </row>
    <row r="23" spans="1:26" ht="15" x14ac:dyDescent="0.25">
      <c r="A23">
        <v>50</v>
      </c>
      <c r="B23" s="105" t="s">
        <v>853</v>
      </c>
      <c r="C23" s="105" t="s">
        <v>877</v>
      </c>
      <c r="D23" s="105"/>
      <c r="E23" s="195" t="s">
        <v>822</v>
      </c>
      <c r="F23" s="240" t="str">
        <f t="shared" si="0"/>
        <v>EVS-RH160A50</v>
      </c>
      <c r="G23" s="194">
        <v>0.18884258633591816</v>
      </c>
      <c r="H23" s="194">
        <v>-2.1589386337594272</v>
      </c>
      <c r="I23" s="194">
        <f>CALC!$D$11*G23+H23</f>
        <v>-2.1589386337594272</v>
      </c>
      <c r="Z23">
        <f t="shared" si="1"/>
        <v>0</v>
      </c>
    </row>
    <row r="24" spans="1:26" ht="15" x14ac:dyDescent="0.25">
      <c r="A24">
        <v>63</v>
      </c>
      <c r="B24" s="105" t="s">
        <v>853</v>
      </c>
      <c r="C24" s="105" t="s">
        <v>877</v>
      </c>
      <c r="D24" s="105"/>
      <c r="E24" s="195" t="s">
        <v>823</v>
      </c>
      <c r="F24" s="240" t="str">
        <f t="shared" si="0"/>
        <v>EVS-RH160A63</v>
      </c>
      <c r="G24" s="194">
        <v>0.22993029776219187</v>
      </c>
      <c r="H24" s="194">
        <v>-2.624970267678</v>
      </c>
      <c r="I24" s="194">
        <f>CALC!$D$11*G24+H24</f>
        <v>-2.624970267678</v>
      </c>
      <c r="Z24">
        <f t="shared" si="1"/>
        <v>0</v>
      </c>
    </row>
    <row r="25" spans="1:26" ht="15" x14ac:dyDescent="0.25">
      <c r="A25">
        <v>75</v>
      </c>
      <c r="B25" s="105" t="s">
        <v>853</v>
      </c>
      <c r="C25" s="105" t="s">
        <v>877</v>
      </c>
      <c r="D25" s="105"/>
      <c r="E25" s="195" t="s">
        <v>824</v>
      </c>
      <c r="F25" s="240" t="str">
        <f t="shared" si="0"/>
        <v>EVS-RH160A75</v>
      </c>
      <c r="G25" s="194">
        <v>0.27453863650202881</v>
      </c>
      <c r="H25" s="194">
        <v>-3.1296434032268046</v>
      </c>
      <c r="I25" s="194">
        <f>CALC!$D$11*G25+H25</f>
        <v>-3.1296434032268046</v>
      </c>
      <c r="Z25">
        <f t="shared" si="1"/>
        <v>0</v>
      </c>
    </row>
    <row r="26" spans="1:26" ht="15" x14ac:dyDescent="0.25">
      <c r="A26">
        <v>16</v>
      </c>
      <c r="B26" s="105"/>
      <c r="C26" s="105" t="s">
        <v>877</v>
      </c>
      <c r="D26" s="105"/>
      <c r="E26" s="195" t="s">
        <v>216</v>
      </c>
      <c r="F26" s="240" t="str">
        <f t="shared" si="0"/>
        <v>EVS-RS40A16</v>
      </c>
      <c r="G26" s="194">
        <v>0.19850592924534605</v>
      </c>
      <c r="H26" s="194">
        <v>-2.3108709427359466</v>
      </c>
      <c r="I26" s="194">
        <f>CALC!$D$11*G26+H26</f>
        <v>-2.3108709427359466</v>
      </c>
      <c r="Z26">
        <f t="shared" si="1"/>
        <v>0</v>
      </c>
    </row>
    <row r="27" spans="1:26" ht="15" x14ac:dyDescent="0.25">
      <c r="A27">
        <v>20</v>
      </c>
      <c r="B27" s="105"/>
      <c r="C27" s="105" t="s">
        <v>877</v>
      </c>
      <c r="D27" s="105"/>
      <c r="E27" s="195" t="s">
        <v>217</v>
      </c>
      <c r="F27" s="240" t="str">
        <f t="shared" si="0"/>
        <v>EVS-RS40A20</v>
      </c>
      <c r="G27" s="194">
        <v>0.25863235274269936</v>
      </c>
      <c r="H27" s="194">
        <v>-2.9822576472042375</v>
      </c>
      <c r="I27" s="194">
        <f>CALC!$D$11*G27+H27</f>
        <v>-2.9822576472042375</v>
      </c>
      <c r="Z27">
        <f t="shared" si="1"/>
        <v>0</v>
      </c>
    </row>
    <row r="28" spans="1:26" ht="15" x14ac:dyDescent="0.25">
      <c r="A28">
        <v>25</v>
      </c>
      <c r="B28" s="198"/>
      <c r="C28" s="105" t="s">
        <v>877</v>
      </c>
      <c r="D28" s="105"/>
      <c r="E28" s="195" t="s">
        <v>800</v>
      </c>
      <c r="F28" s="240" t="str">
        <f t="shared" si="0"/>
        <v>EVS-RS50A25</v>
      </c>
      <c r="G28" s="194">
        <v>0.25850435964417173</v>
      </c>
      <c r="H28" s="194">
        <v>-2.9963558343333094</v>
      </c>
      <c r="I28" s="194">
        <f>CALC!$D$11*G28+H28</f>
        <v>-2.9963558343333094</v>
      </c>
      <c r="Z28">
        <f t="shared" si="1"/>
        <v>0</v>
      </c>
    </row>
    <row r="29" spans="1:26" ht="15" x14ac:dyDescent="0.25">
      <c r="A29">
        <v>32</v>
      </c>
      <c r="B29" s="198"/>
      <c r="C29" s="105" t="s">
        <v>877</v>
      </c>
      <c r="D29" s="105"/>
      <c r="E29" s="195" t="s">
        <v>801</v>
      </c>
      <c r="F29" s="240" t="str">
        <f t="shared" si="0"/>
        <v>EVS-RS63A32</v>
      </c>
      <c r="G29" s="194">
        <v>0.26735982131770508</v>
      </c>
      <c r="H29" s="194">
        <v>-3.0968881813769222</v>
      </c>
      <c r="I29" s="194">
        <f>CALC!$D$11*G29+H29</f>
        <v>-3.0968881813769222</v>
      </c>
      <c r="Z29">
        <f t="shared" si="1"/>
        <v>0</v>
      </c>
    </row>
    <row r="30" spans="1:26" ht="15" x14ac:dyDescent="0.25">
      <c r="A30">
        <v>40</v>
      </c>
      <c r="B30" s="198"/>
      <c r="C30" s="105" t="s">
        <v>877</v>
      </c>
      <c r="D30" s="105"/>
      <c r="E30" s="195" t="s">
        <v>802</v>
      </c>
      <c r="F30" s="240" t="str">
        <f t="shared" si="0"/>
        <v>EVS-RS75A40</v>
      </c>
      <c r="G30" s="194">
        <v>0.28761871400469063</v>
      </c>
      <c r="H30" s="194">
        <v>-3.3233884464766135</v>
      </c>
      <c r="I30" s="194">
        <f>CALC!$D$11*G30+H30</f>
        <v>-3.3233884464766135</v>
      </c>
      <c r="Z30">
        <f t="shared" si="1"/>
        <v>0</v>
      </c>
    </row>
    <row r="31" spans="1:26" ht="15" x14ac:dyDescent="0.25">
      <c r="A31">
        <v>50</v>
      </c>
      <c r="C31" s="105" t="s">
        <v>877</v>
      </c>
      <c r="D31" s="105"/>
      <c r="E31" s="195" t="s">
        <v>803</v>
      </c>
      <c r="F31" s="240" t="str">
        <f t="shared" si="0"/>
        <v>EVS-RS90A50</v>
      </c>
      <c r="G31" s="194">
        <v>0.32521642926842032</v>
      </c>
      <c r="H31" s="194">
        <v>-3.741800433929912</v>
      </c>
      <c r="I31" s="194">
        <f>CALC!$D$11*G31+H31</f>
        <v>-3.741800433929912</v>
      </c>
      <c r="Z31">
        <f t="shared" si="1"/>
        <v>0</v>
      </c>
    </row>
    <row r="32" spans="1:26" ht="15" x14ac:dyDescent="0.25">
      <c r="A32">
        <v>63</v>
      </c>
      <c r="C32" s="105" t="s">
        <v>877</v>
      </c>
      <c r="D32" s="105"/>
      <c r="E32" s="195" t="s">
        <v>804</v>
      </c>
      <c r="F32" s="240" t="str">
        <f t="shared" si="0"/>
        <v>EVS-RS125A63</v>
      </c>
      <c r="G32" s="194">
        <v>0.30155498665039154</v>
      </c>
      <c r="H32" s="194">
        <v>-3.4625138978535261</v>
      </c>
      <c r="I32" s="194">
        <f>CALC!$D$11*G32+H32</f>
        <v>-3.4625138978535261</v>
      </c>
      <c r="Z32">
        <f t="shared" si="1"/>
        <v>0</v>
      </c>
    </row>
    <row r="33" spans="1:26" ht="15" x14ac:dyDescent="0.25">
      <c r="A33">
        <v>75</v>
      </c>
      <c r="C33" s="105" t="s">
        <v>877</v>
      </c>
      <c r="D33" s="105"/>
      <c r="E33" s="195" t="s">
        <v>805</v>
      </c>
      <c r="F33" s="240" t="str">
        <f t="shared" si="0"/>
        <v>EVS-RS125A75</v>
      </c>
      <c r="G33" s="194">
        <v>0.40031595515722251</v>
      </c>
      <c r="H33" s="194">
        <v>-4.5656851168467778</v>
      </c>
      <c r="I33" s="194">
        <f>CALC!$D$11*G33+H33</f>
        <v>-4.5656851168467778</v>
      </c>
      <c r="Z33">
        <f t="shared" si="1"/>
        <v>0</v>
      </c>
    </row>
    <row r="34" spans="1:26" ht="15" x14ac:dyDescent="0.25">
      <c r="A34">
        <v>90</v>
      </c>
      <c r="C34" s="105" t="s">
        <v>877</v>
      </c>
      <c r="D34" s="105"/>
      <c r="E34" s="195" t="s">
        <v>806</v>
      </c>
      <c r="F34" s="240" t="str">
        <f t="shared" si="0"/>
        <v>EVS-RS160A90</v>
      </c>
      <c r="G34" s="194">
        <v>0.34835034346065957</v>
      </c>
      <c r="H34" s="194">
        <v>-3.9605053839944908</v>
      </c>
      <c r="I34" s="194">
        <f>CALC!$D$11*G34+H34</f>
        <v>-3.9605053839944908</v>
      </c>
      <c r="Z34">
        <f t="shared" si="1"/>
        <v>0</v>
      </c>
    </row>
    <row r="35" spans="1:26" ht="15" x14ac:dyDescent="0.25">
      <c r="A35">
        <v>25</v>
      </c>
      <c r="C35" s="105" t="s">
        <v>877</v>
      </c>
      <c r="D35" s="105"/>
      <c r="E35" s="195" t="s">
        <v>825</v>
      </c>
      <c r="F35" s="240" t="str">
        <f t="shared" si="0"/>
        <v>EVS-RS90A25</v>
      </c>
      <c r="G35" s="194">
        <v>0.15413015251991005</v>
      </c>
      <c r="H35" s="194">
        <v>-1.7993220484861148</v>
      </c>
      <c r="I35" s="194">
        <f>CALC!$D$11*G35+H35</f>
        <v>-1.7993220484861148</v>
      </c>
      <c r="Z35">
        <f t="shared" si="1"/>
        <v>0</v>
      </c>
    </row>
    <row r="36" spans="1:26" ht="15" x14ac:dyDescent="0.25">
      <c r="A36">
        <v>32</v>
      </c>
      <c r="C36" s="105" t="s">
        <v>877</v>
      </c>
      <c r="D36" s="105"/>
      <c r="E36" s="195" t="s">
        <v>827</v>
      </c>
      <c r="F36" s="240" t="str">
        <f t="shared" ref="F36:F67" si="2">C36&amp;E36</f>
        <v>EVS-RS125A32</v>
      </c>
      <c r="G36" s="194">
        <v>0.15554460385305838</v>
      </c>
      <c r="H36" s="194">
        <v>-1.8027407200957111</v>
      </c>
      <c r="I36" s="194">
        <f>CALC!$D$11*G36+H36</f>
        <v>-1.8027407200957111</v>
      </c>
      <c r="Z36">
        <f t="shared" si="1"/>
        <v>0</v>
      </c>
    </row>
    <row r="37" spans="1:26" ht="15" x14ac:dyDescent="0.25">
      <c r="A37">
        <v>40</v>
      </c>
      <c r="C37" s="105" t="s">
        <v>877</v>
      </c>
      <c r="D37" s="105"/>
      <c r="E37" s="195" t="s">
        <v>829</v>
      </c>
      <c r="F37" s="240" t="str">
        <f t="shared" si="2"/>
        <v>EVS-RS125A40</v>
      </c>
      <c r="G37" s="194">
        <v>0.18476122260117747</v>
      </c>
      <c r="H37" s="194">
        <v>-2.1372426211114606</v>
      </c>
      <c r="I37" s="194">
        <f>CALC!$D$11*G37+H37</f>
        <v>-2.1372426211114606</v>
      </c>
      <c r="Z37">
        <f t="shared" si="1"/>
        <v>0</v>
      </c>
    </row>
    <row r="38" spans="1:26" ht="15" x14ac:dyDescent="0.25">
      <c r="A38">
        <v>50</v>
      </c>
      <c r="C38" s="105" t="s">
        <v>877</v>
      </c>
      <c r="D38" s="105"/>
      <c r="E38" s="195" t="s">
        <v>831</v>
      </c>
      <c r="F38" s="240" t="str">
        <f t="shared" si="2"/>
        <v>EVS-RS160A50</v>
      </c>
      <c r="G38" s="194">
        <v>0.18884258633591816</v>
      </c>
      <c r="H38" s="194">
        <v>-2.1589386337594272</v>
      </c>
      <c r="I38" s="194">
        <f>CALC!$D$11*G38+H38</f>
        <v>-2.1589386337594272</v>
      </c>
      <c r="Z38">
        <f t="shared" si="1"/>
        <v>0</v>
      </c>
    </row>
    <row r="39" spans="1:26" ht="15" x14ac:dyDescent="0.25">
      <c r="A39" s="110">
        <v>63</v>
      </c>
      <c r="B39" s="110"/>
      <c r="C39" s="105" t="s">
        <v>877</v>
      </c>
      <c r="D39" s="109"/>
      <c r="E39" s="260" t="s">
        <v>833</v>
      </c>
      <c r="F39" s="240" t="str">
        <f t="shared" si="2"/>
        <v>EVS-RS160A63</v>
      </c>
      <c r="G39" s="232">
        <v>0.22993029776219187</v>
      </c>
      <c r="H39" s="232">
        <v>-2.624970267678</v>
      </c>
      <c r="I39" s="194">
        <f>CALC!$D$11*G39+H39</f>
        <v>-2.624970267678</v>
      </c>
      <c r="Z39">
        <f t="shared" si="1"/>
        <v>0</v>
      </c>
    </row>
    <row r="40" spans="1:26" s="110" customFormat="1" ht="15.75" thickBot="1" x14ac:dyDescent="0.3">
      <c r="A40" s="233">
        <v>75</v>
      </c>
      <c r="B40" s="233"/>
      <c r="C40" s="234" t="s">
        <v>877</v>
      </c>
      <c r="D40" s="234"/>
      <c r="E40" s="261" t="s">
        <v>835</v>
      </c>
      <c r="F40" s="262" t="str">
        <f t="shared" si="2"/>
        <v>EVS-RS160A75</v>
      </c>
      <c r="G40" s="235">
        <v>0.27453863650202881</v>
      </c>
      <c r="H40" s="235">
        <v>-3.1296434032268046</v>
      </c>
      <c r="I40" s="235">
        <f>CALC!$D$11*G40+H40</f>
        <v>-3.1296434032268046</v>
      </c>
      <c r="J40"/>
      <c r="Z40">
        <f t="shared" si="1"/>
        <v>0</v>
      </c>
    </row>
    <row r="41" spans="1:26" ht="15.75" thickTop="1" x14ac:dyDescent="0.25">
      <c r="A41">
        <v>16</v>
      </c>
      <c r="B41" s="105" t="s">
        <v>852</v>
      </c>
      <c r="C41" s="105" t="s">
        <v>795</v>
      </c>
      <c r="D41" s="105" t="s">
        <v>872</v>
      </c>
      <c r="E41" s="231" t="s">
        <v>808</v>
      </c>
      <c r="F41" s="240" t="str">
        <f t="shared" si="2"/>
        <v>DVS-RH40A16</v>
      </c>
      <c r="G41" s="194">
        <v>0.36390699274776095</v>
      </c>
      <c r="H41" s="194">
        <v>-4.1215297509383628</v>
      </c>
      <c r="I41" s="194">
        <f>((CALC!$D$11+CALC!$D$12)/2)*PARAMETER_HL!G41+PARAMETER_HL!H41</f>
        <v>-4.1215297509383628</v>
      </c>
      <c r="Z41" t="str">
        <f t="shared" si="1"/>
        <v>SP</v>
      </c>
    </row>
    <row r="42" spans="1:26" ht="15" x14ac:dyDescent="0.25">
      <c r="A42">
        <v>20</v>
      </c>
      <c r="B42" s="105" t="s">
        <v>852</v>
      </c>
      <c r="C42" s="105" t="s">
        <v>795</v>
      </c>
      <c r="D42" s="105" t="s">
        <v>872</v>
      </c>
      <c r="E42" s="195" t="s">
        <v>809</v>
      </c>
      <c r="F42" s="240" t="str">
        <f t="shared" si="2"/>
        <v>DVS-RH40A20</v>
      </c>
      <c r="G42" s="194">
        <v>0.46105459564138379</v>
      </c>
      <c r="H42" s="194">
        <v>-5.1553773813328725</v>
      </c>
      <c r="I42" s="194">
        <f>((CALC!$D$11+CALC!$D$12)/2)*PARAMETER_HL!G42+PARAMETER_HL!H42</f>
        <v>-5.1553773813328725</v>
      </c>
      <c r="Z42" t="str">
        <f t="shared" si="1"/>
        <v>SP</v>
      </c>
    </row>
    <row r="43" spans="1:26" ht="15" x14ac:dyDescent="0.25">
      <c r="A43">
        <v>25</v>
      </c>
      <c r="B43" s="105" t="s">
        <v>852</v>
      </c>
      <c r="C43" s="105" t="s">
        <v>795</v>
      </c>
      <c r="D43" s="105" t="s">
        <v>872</v>
      </c>
      <c r="E43" s="195" t="s">
        <v>810</v>
      </c>
      <c r="F43" s="240" t="str">
        <f t="shared" si="2"/>
        <v>DVS-RH50A25</v>
      </c>
      <c r="G43" s="194">
        <v>0.46162900885677749</v>
      </c>
      <c r="H43" s="194">
        <v>-5.1855431262199119</v>
      </c>
      <c r="I43" s="194">
        <f>((CALC!$D$11+CALC!$D$12)/2)*PARAMETER_HL!G43+PARAMETER_HL!H43</f>
        <v>-5.1855431262199119</v>
      </c>
      <c r="Z43" t="str">
        <f t="shared" si="1"/>
        <v>SP</v>
      </c>
    </row>
    <row r="44" spans="1:26" ht="15" x14ac:dyDescent="0.25">
      <c r="A44">
        <v>32</v>
      </c>
      <c r="B44" s="105" t="s">
        <v>852</v>
      </c>
      <c r="C44" s="105" t="s">
        <v>795</v>
      </c>
      <c r="D44" s="105" t="s">
        <v>872</v>
      </c>
      <c r="E44" s="195" t="s">
        <v>811</v>
      </c>
      <c r="F44" s="240" t="str">
        <f t="shared" si="2"/>
        <v>DVS-RH63A32</v>
      </c>
      <c r="G44" s="194">
        <v>0.47640000716942366</v>
      </c>
      <c r="H44" s="194">
        <v>-5.3465593134533087</v>
      </c>
      <c r="I44" s="194">
        <f>((CALC!$D$11+CALC!$D$12)/2)*PARAMETER_HL!G44+PARAMETER_HL!H44</f>
        <v>-5.3465593134533087</v>
      </c>
      <c r="Z44" t="str">
        <f t="shared" si="1"/>
        <v>SP</v>
      </c>
    </row>
    <row r="45" spans="1:26" ht="15" x14ac:dyDescent="0.25">
      <c r="A45">
        <v>40</v>
      </c>
      <c r="B45" s="105" t="s">
        <v>852</v>
      </c>
      <c r="C45" s="105" t="s">
        <v>795</v>
      </c>
      <c r="D45" s="105" t="s">
        <v>872</v>
      </c>
      <c r="E45" s="195" t="s">
        <v>812</v>
      </c>
      <c r="F45" s="240" t="str">
        <f t="shared" si="2"/>
        <v>DVS-RH75A40</v>
      </c>
      <c r="G45" s="194">
        <v>0.50874430488067857</v>
      </c>
      <c r="H45" s="194">
        <v>-5.6910329297467861</v>
      </c>
      <c r="I45" s="194">
        <f>((CALC!$D$11+CALC!$D$12)/2)*PARAMETER_HL!G45+PARAMETER_HL!H45</f>
        <v>-5.6910329297467861</v>
      </c>
      <c r="Z45" t="str">
        <f t="shared" si="1"/>
        <v>SP</v>
      </c>
    </row>
    <row r="46" spans="1:26" ht="15" x14ac:dyDescent="0.25">
      <c r="A46">
        <v>50</v>
      </c>
      <c r="B46" s="105" t="s">
        <v>852</v>
      </c>
      <c r="C46" s="105" t="s">
        <v>795</v>
      </c>
      <c r="D46" s="105" t="s">
        <v>872</v>
      </c>
      <c r="E46" s="195" t="s">
        <v>813</v>
      </c>
      <c r="F46" s="240" t="str">
        <f t="shared" si="2"/>
        <v>DVS-RH125A50</v>
      </c>
      <c r="G46" s="194">
        <v>0.41549021104583678</v>
      </c>
      <c r="H46" s="194">
        <v>-4.6671085118064362</v>
      </c>
      <c r="I46" s="194">
        <f>((CALC!$D$11+CALC!$D$12)/2)*PARAMETER_HL!G46+PARAMETER_HL!H46</f>
        <v>-4.6671085118064362</v>
      </c>
      <c r="Z46" t="str">
        <f t="shared" si="1"/>
        <v>SP</v>
      </c>
    </row>
    <row r="47" spans="1:26" ht="15" x14ac:dyDescent="0.25">
      <c r="A47">
        <v>63</v>
      </c>
      <c r="B47" s="105" t="s">
        <v>852</v>
      </c>
      <c r="C47" s="105" t="s">
        <v>795</v>
      </c>
      <c r="D47" s="105" t="s">
        <v>872</v>
      </c>
      <c r="E47" s="195" t="s">
        <v>814</v>
      </c>
      <c r="F47" s="240" t="str">
        <f t="shared" si="2"/>
        <v>DVS-RH125A63</v>
      </c>
      <c r="G47" s="194">
        <v>0.53330564262074709</v>
      </c>
      <c r="H47" s="194">
        <v>-5.9359508207036669</v>
      </c>
      <c r="I47" s="194">
        <f>((CALC!$D$11+CALC!$D$12)/2)*PARAMETER_HL!G47+PARAMETER_HL!H47</f>
        <v>-5.9359508207036669</v>
      </c>
      <c r="Z47" t="str">
        <f t="shared" si="1"/>
        <v>SP</v>
      </c>
    </row>
    <row r="48" spans="1:26" ht="15" x14ac:dyDescent="0.25">
      <c r="A48">
        <v>75</v>
      </c>
      <c r="B48" s="105" t="s">
        <v>852</v>
      </c>
      <c r="C48" s="105" t="s">
        <v>795</v>
      </c>
      <c r="D48" s="105" t="s">
        <v>872</v>
      </c>
      <c r="E48" s="195" t="s">
        <v>815</v>
      </c>
      <c r="F48" s="240" t="str">
        <f t="shared" si="2"/>
        <v>DVS-RH125A75</v>
      </c>
      <c r="G48" s="194">
        <v>0.67845582912322178</v>
      </c>
      <c r="H48" s="194">
        <v>-7.4595805792936183</v>
      </c>
      <c r="I48" s="194">
        <f>((CALC!$D$11+CALC!$D$12)/2)*PARAMETER_HL!G48+PARAMETER_HL!H48</f>
        <v>-7.4595805792936183</v>
      </c>
      <c r="Z48" t="str">
        <f t="shared" si="1"/>
        <v>SP</v>
      </c>
    </row>
    <row r="49" spans="1:26" ht="15" x14ac:dyDescent="0.25">
      <c r="A49">
        <v>90</v>
      </c>
      <c r="B49" s="105" t="s">
        <v>852</v>
      </c>
      <c r="C49" s="105" t="s">
        <v>795</v>
      </c>
      <c r="D49" s="105" t="s">
        <v>872</v>
      </c>
      <c r="E49" s="195" t="s">
        <v>816</v>
      </c>
      <c r="F49" s="240" t="str">
        <f t="shared" si="2"/>
        <v>DVS-RH160A90</v>
      </c>
      <c r="G49" s="194">
        <v>0.60730513215975368</v>
      </c>
      <c r="H49" s="194">
        <v>-6.6919095499340742</v>
      </c>
      <c r="I49" s="194">
        <f>((CALC!$D$11+CALC!$D$12)/2)*PARAMETER_HL!G49+PARAMETER_HL!H49</f>
        <v>-6.6919095499340742</v>
      </c>
      <c r="Z49" t="str">
        <f t="shared" si="1"/>
        <v>SP</v>
      </c>
    </row>
    <row r="50" spans="1:26" ht="15" x14ac:dyDescent="0.25">
      <c r="A50">
        <v>110</v>
      </c>
      <c r="B50" s="105" t="s">
        <v>852</v>
      </c>
      <c r="C50" s="105" t="s">
        <v>795</v>
      </c>
      <c r="D50" s="105" t="s">
        <v>872</v>
      </c>
      <c r="E50" s="195" t="s">
        <v>215</v>
      </c>
      <c r="F50" s="240" t="str">
        <f t="shared" si="2"/>
        <v>DVS-R200A110</v>
      </c>
      <c r="G50" s="194">
        <v>0.63596645667888407</v>
      </c>
      <c r="H50" s="194">
        <v>-6.9554650417746551</v>
      </c>
      <c r="I50" s="194">
        <f>((CALC!$D$11+CALC!$D$12)/2)*PARAMETER_HL!G50+PARAMETER_HL!H50</f>
        <v>-6.9554650417746551</v>
      </c>
      <c r="Z50" t="str">
        <f t="shared" si="1"/>
        <v>SP</v>
      </c>
    </row>
    <row r="51" spans="1:26" ht="15" x14ac:dyDescent="0.25">
      <c r="A51">
        <v>125</v>
      </c>
      <c r="B51" s="105" t="s">
        <v>852</v>
      </c>
      <c r="C51" s="105" t="s">
        <v>795</v>
      </c>
      <c r="D51" s="105" t="s">
        <v>872</v>
      </c>
      <c r="E51" s="195" t="s">
        <v>807</v>
      </c>
      <c r="F51" s="240" t="str">
        <f t="shared" si="2"/>
        <v>DVS-R200A125</v>
      </c>
      <c r="G51" s="194">
        <v>0.74803927856936769</v>
      </c>
      <c r="H51" s="194">
        <v>-8.1331548488237786</v>
      </c>
      <c r="I51" s="194">
        <f>((CALC!$D$11+CALC!$D$12)/2)*PARAMETER_HL!G51+PARAMETER_HL!H51</f>
        <v>-8.1331548488237786</v>
      </c>
      <c r="Z51" t="str">
        <f t="shared" si="1"/>
        <v>SP</v>
      </c>
    </row>
    <row r="52" spans="1:26" x14ac:dyDescent="0.2">
      <c r="A52">
        <v>140</v>
      </c>
      <c r="B52" s="105" t="s">
        <v>852</v>
      </c>
      <c r="C52" s="105" t="s">
        <v>795</v>
      </c>
      <c r="D52" s="105" t="s">
        <v>872</v>
      </c>
      <c r="E52" s="196" t="s">
        <v>220</v>
      </c>
      <c r="F52" s="240" t="str">
        <f t="shared" si="2"/>
        <v>DFV-R225A140</v>
      </c>
      <c r="G52" s="194">
        <v>0.63383333333333336</v>
      </c>
      <c r="H52" s="194">
        <v>-5.3266666666666644</v>
      </c>
      <c r="I52" s="194">
        <f>((CALC!$D$11+CALC!$D$12)/2)*PARAMETER_HL!G52+PARAMETER_HL!H52</f>
        <v>-5.3266666666666644</v>
      </c>
      <c r="Z52" t="str">
        <f t="shared" si="1"/>
        <v>SP</v>
      </c>
    </row>
    <row r="53" spans="1:26" x14ac:dyDescent="0.2">
      <c r="A53">
        <v>160</v>
      </c>
      <c r="B53" s="105" t="s">
        <v>852</v>
      </c>
      <c r="C53" s="105" t="s">
        <v>795</v>
      </c>
      <c r="D53" s="105" t="s">
        <v>872</v>
      </c>
      <c r="E53" s="196" t="s">
        <v>219</v>
      </c>
      <c r="F53" s="240" t="str">
        <f t="shared" si="2"/>
        <v>DFV-R250A160</v>
      </c>
      <c r="G53" s="194">
        <v>0.68766666666666665</v>
      </c>
      <c r="H53" s="194">
        <v>-5.803333333333331</v>
      </c>
      <c r="I53" s="194">
        <f>((CALC!$D$11+CALC!$D$12)/2)*PARAMETER_HL!G53+PARAMETER_HL!H53</f>
        <v>-5.803333333333331</v>
      </c>
      <c r="Z53" t="str">
        <f t="shared" si="1"/>
        <v>SP</v>
      </c>
    </row>
    <row r="54" spans="1:26" x14ac:dyDescent="0.2">
      <c r="A54">
        <v>225</v>
      </c>
      <c r="B54" s="105" t="s">
        <v>852</v>
      </c>
      <c r="C54" s="105" t="s">
        <v>795</v>
      </c>
      <c r="D54" s="105" t="s">
        <v>872</v>
      </c>
      <c r="E54" s="196" t="s">
        <v>218</v>
      </c>
      <c r="F54" s="240" t="str">
        <f t="shared" si="2"/>
        <v>DFV-R315A225</v>
      </c>
      <c r="G54" s="194">
        <v>0.85946666666666671</v>
      </c>
      <c r="H54" s="194">
        <v>-8.0773333333333355</v>
      </c>
      <c r="I54" s="194">
        <f>((CALC!$D$11+CALC!$D$12)/2)*PARAMETER_HL!G54+PARAMETER_HL!H54</f>
        <v>-8.0773333333333355</v>
      </c>
      <c r="Z54" t="str">
        <f t="shared" si="1"/>
        <v>SP</v>
      </c>
    </row>
    <row r="55" spans="1:26" ht="15" x14ac:dyDescent="0.25">
      <c r="A55">
        <v>16</v>
      </c>
      <c r="B55" s="105" t="s">
        <v>853</v>
      </c>
      <c r="C55" s="105" t="s">
        <v>795</v>
      </c>
      <c r="D55" s="105" t="s">
        <v>872</v>
      </c>
      <c r="E55" s="195" t="s">
        <v>817</v>
      </c>
      <c r="F55" s="240" t="str">
        <f t="shared" si="2"/>
        <v>DVS-RH75A16</v>
      </c>
      <c r="G55" s="194">
        <v>0.23263127334517045</v>
      </c>
      <c r="H55" s="194">
        <v>-2.6686284422032802</v>
      </c>
      <c r="I55" s="194">
        <f>((CALC!$D$11+CALC!$D$12)/2)*PARAMETER_HL!G55+PARAMETER_HL!H55</f>
        <v>-2.6686284422032802</v>
      </c>
      <c r="Z55" t="str">
        <f t="shared" si="1"/>
        <v>SP</v>
      </c>
    </row>
    <row r="56" spans="1:26" ht="15" x14ac:dyDescent="0.25">
      <c r="A56">
        <v>20</v>
      </c>
      <c r="B56" s="105" t="s">
        <v>853</v>
      </c>
      <c r="C56" s="105" t="s">
        <v>795</v>
      </c>
      <c r="D56" s="105" t="s">
        <v>872</v>
      </c>
      <c r="E56" s="195" t="s">
        <v>818</v>
      </c>
      <c r="F56" s="240" t="str">
        <f t="shared" si="2"/>
        <v>DVS-RH90A20</v>
      </c>
      <c r="G56" s="194">
        <v>0.24677336535618524</v>
      </c>
      <c r="H56" s="194">
        <v>-2.8202784838549633</v>
      </c>
      <c r="I56" s="194">
        <f>((CALC!$D$11+CALC!$D$12)/2)*PARAMETER_HL!G56+PARAMETER_HL!H56</f>
        <v>-2.8202784838549633</v>
      </c>
      <c r="Z56" t="str">
        <f t="shared" si="1"/>
        <v>SP</v>
      </c>
    </row>
    <row r="57" spans="1:26" ht="15" x14ac:dyDescent="0.25">
      <c r="A57">
        <v>25</v>
      </c>
      <c r="B57" s="105" t="s">
        <v>853</v>
      </c>
      <c r="C57" s="105" t="s">
        <v>795</v>
      </c>
      <c r="D57" s="105" t="s">
        <v>872</v>
      </c>
      <c r="E57" s="195" t="s">
        <v>819</v>
      </c>
      <c r="F57" s="240" t="str">
        <f t="shared" si="2"/>
        <v>DVS-RH90A25</v>
      </c>
      <c r="G57" s="194">
        <v>0.28897477838245111</v>
      </c>
      <c r="H57" s="194">
        <v>-3.2959984652276262</v>
      </c>
      <c r="I57" s="194">
        <f>((CALC!$D$11+CALC!$D$12)/2)*PARAMETER_HL!G57+PARAMETER_HL!H57</f>
        <v>-3.2959984652276262</v>
      </c>
      <c r="Z57" t="str">
        <f t="shared" si="1"/>
        <v>SP</v>
      </c>
    </row>
    <row r="58" spans="1:26" ht="15" x14ac:dyDescent="0.25">
      <c r="A58">
        <v>32</v>
      </c>
      <c r="B58" s="105" t="s">
        <v>853</v>
      </c>
      <c r="C58" s="105" t="s">
        <v>795</v>
      </c>
      <c r="D58" s="105" t="s">
        <v>872</v>
      </c>
      <c r="E58" s="195" t="s">
        <v>820</v>
      </c>
      <c r="F58" s="240" t="str">
        <f t="shared" si="2"/>
        <v>DVS-RH125A32</v>
      </c>
      <c r="G58" s="194">
        <v>0.29206693148518997</v>
      </c>
      <c r="H58" s="194">
        <v>-3.3113753635436556</v>
      </c>
      <c r="I58" s="194">
        <f>((CALC!$D$11+CALC!$D$12)/2)*PARAMETER_HL!G58+PARAMETER_HL!H58</f>
        <v>-3.3113753635436556</v>
      </c>
      <c r="Z58" t="str">
        <f t="shared" si="1"/>
        <v>SP</v>
      </c>
    </row>
    <row r="59" spans="1:26" ht="15" x14ac:dyDescent="0.25">
      <c r="A59">
        <v>40</v>
      </c>
      <c r="B59" s="105" t="s">
        <v>853</v>
      </c>
      <c r="C59" s="105" t="s">
        <v>795</v>
      </c>
      <c r="D59" s="105" t="s">
        <v>872</v>
      </c>
      <c r="E59" s="195" t="s">
        <v>821</v>
      </c>
      <c r="F59" s="240" t="str">
        <f t="shared" si="2"/>
        <v>DVS-RH125A40</v>
      </c>
      <c r="G59" s="194">
        <v>0.34272653007005</v>
      </c>
      <c r="H59" s="194">
        <v>-3.8712369223511889</v>
      </c>
      <c r="I59" s="194">
        <f>((CALC!$D$11+CALC!$D$12)/2)*PARAMETER_HL!G59+PARAMETER_HL!H59</f>
        <v>-3.8712369223511889</v>
      </c>
      <c r="Z59" t="str">
        <f t="shared" si="1"/>
        <v>SP</v>
      </c>
    </row>
    <row r="60" spans="1:26" ht="15" x14ac:dyDescent="0.25">
      <c r="A60">
        <v>50</v>
      </c>
      <c r="B60" s="105" t="s">
        <v>853</v>
      </c>
      <c r="C60" s="105" t="s">
        <v>795</v>
      </c>
      <c r="D60" s="105" t="s">
        <v>872</v>
      </c>
      <c r="E60" s="195" t="s">
        <v>822</v>
      </c>
      <c r="F60" s="240" t="str">
        <f t="shared" si="2"/>
        <v>DVS-RH160A50</v>
      </c>
      <c r="G60" s="194">
        <v>0.35078075512873069</v>
      </c>
      <c r="H60" s="194">
        <v>-3.9236794746993091</v>
      </c>
      <c r="I60" s="194">
        <f>((CALC!$D$11+CALC!$D$12)/2)*PARAMETER_HL!G60+PARAMETER_HL!H60</f>
        <v>-3.9236794746993091</v>
      </c>
      <c r="Z60" t="str">
        <f t="shared" si="1"/>
        <v>SP</v>
      </c>
    </row>
    <row r="61" spans="1:26" ht="15" x14ac:dyDescent="0.25">
      <c r="A61">
        <v>75</v>
      </c>
      <c r="B61" s="105" t="s">
        <v>853</v>
      </c>
      <c r="C61" s="105" t="s">
        <v>795</v>
      </c>
      <c r="D61" s="105" t="s">
        <v>872</v>
      </c>
      <c r="E61" s="195" t="s">
        <v>824</v>
      </c>
      <c r="F61" s="240" t="str">
        <f t="shared" si="2"/>
        <v>DVS-RH160A75</v>
      </c>
      <c r="G61" s="194">
        <v>0.49254361289246185</v>
      </c>
      <c r="H61" s="194">
        <v>-5.4659696967211318</v>
      </c>
      <c r="I61" s="194">
        <f>((CALC!$D$11+CALC!$D$12)/2)*PARAMETER_HL!G61+PARAMETER_HL!H61</f>
        <v>-5.4659696967211318</v>
      </c>
      <c r="Z61" t="str">
        <f t="shared" si="1"/>
        <v>SP</v>
      </c>
    </row>
    <row r="62" spans="1:26" x14ac:dyDescent="0.2">
      <c r="A62">
        <v>225</v>
      </c>
      <c r="B62" s="105" t="s">
        <v>852</v>
      </c>
      <c r="C62" s="105" t="s">
        <v>795</v>
      </c>
      <c r="D62" s="105" t="s">
        <v>872</v>
      </c>
      <c r="E62" s="196" t="s">
        <v>218</v>
      </c>
      <c r="F62" s="240" t="str">
        <f t="shared" si="2"/>
        <v>DFV-R315A225</v>
      </c>
      <c r="G62" s="194">
        <v>0.85946666666666671</v>
      </c>
      <c r="H62" s="194">
        <v>-8.0773333333333355</v>
      </c>
      <c r="I62" s="194">
        <f>((CALC!$D$11+CALC!$D$12)/2)*PARAMETER_HL!G62+PARAMETER_HL!H62</f>
        <v>-8.0773333333333355</v>
      </c>
      <c r="Z62" t="str">
        <f t="shared" si="1"/>
        <v>SP</v>
      </c>
    </row>
    <row r="63" spans="1:26" ht="15" x14ac:dyDescent="0.25">
      <c r="A63">
        <v>16</v>
      </c>
      <c r="B63" s="105"/>
      <c r="C63" s="105" t="s">
        <v>795</v>
      </c>
      <c r="D63" s="105" t="s">
        <v>872</v>
      </c>
      <c r="E63" s="195" t="s">
        <v>216</v>
      </c>
      <c r="F63" s="240" t="str">
        <f t="shared" si="2"/>
        <v>DVS-RS40A16</v>
      </c>
      <c r="G63" s="194">
        <v>0.36390699274776095</v>
      </c>
      <c r="H63" s="194">
        <v>-4.1215297509383628</v>
      </c>
      <c r="I63" s="194">
        <f>((CALC!$D$11+CALC!$D$12)/2)*PARAMETER_HL!G63+PARAMETER_HL!H63</f>
        <v>-4.1215297509383628</v>
      </c>
      <c r="Z63" t="str">
        <f t="shared" si="1"/>
        <v>SP</v>
      </c>
    </row>
    <row r="64" spans="1:26" ht="15" x14ac:dyDescent="0.25">
      <c r="A64">
        <v>20</v>
      </c>
      <c r="B64" s="105"/>
      <c r="C64" s="105" t="s">
        <v>795</v>
      </c>
      <c r="D64" s="105" t="s">
        <v>872</v>
      </c>
      <c r="E64" s="195" t="s">
        <v>217</v>
      </c>
      <c r="F64" s="240" t="str">
        <f t="shared" si="2"/>
        <v>DVS-RS40A20</v>
      </c>
      <c r="G64" s="194">
        <v>0.46105459564138379</v>
      </c>
      <c r="H64" s="194">
        <v>-5.1553773813328725</v>
      </c>
      <c r="I64" s="194">
        <f>((CALC!$D$11+CALC!$D$12)/2)*PARAMETER_HL!G64+PARAMETER_HL!H64</f>
        <v>-5.1553773813328725</v>
      </c>
      <c r="Z64" t="str">
        <f t="shared" si="1"/>
        <v>SP</v>
      </c>
    </row>
    <row r="65" spans="1:26" ht="15" x14ac:dyDescent="0.25">
      <c r="A65">
        <v>25</v>
      </c>
      <c r="B65" s="198"/>
      <c r="C65" s="105" t="s">
        <v>795</v>
      </c>
      <c r="D65" s="105" t="s">
        <v>872</v>
      </c>
      <c r="E65" s="195" t="s">
        <v>800</v>
      </c>
      <c r="F65" s="240" t="str">
        <f t="shared" si="2"/>
        <v>DVS-RS50A25</v>
      </c>
      <c r="G65" s="194">
        <v>0.46162900885677749</v>
      </c>
      <c r="H65" s="194">
        <v>-5.1855431262199119</v>
      </c>
      <c r="I65" s="194">
        <f>((CALC!$D$11+CALC!$D$12)/2)*PARAMETER_HL!G65+PARAMETER_HL!H65</f>
        <v>-5.1855431262199119</v>
      </c>
      <c r="Z65" t="str">
        <f t="shared" si="1"/>
        <v>SP</v>
      </c>
    </row>
    <row r="66" spans="1:26" ht="15" x14ac:dyDescent="0.25">
      <c r="A66">
        <v>32</v>
      </c>
      <c r="B66" s="198"/>
      <c r="C66" s="105" t="s">
        <v>795</v>
      </c>
      <c r="D66" s="105" t="s">
        <v>872</v>
      </c>
      <c r="E66" s="195" t="s">
        <v>801</v>
      </c>
      <c r="F66" s="240" t="str">
        <f t="shared" si="2"/>
        <v>DVS-RS63A32</v>
      </c>
      <c r="G66" s="194">
        <v>0.47640000716942366</v>
      </c>
      <c r="H66" s="194">
        <v>-5.3465593134533087</v>
      </c>
      <c r="I66" s="194">
        <f>((CALC!$D$11+CALC!$D$12)/2)*PARAMETER_HL!G66+PARAMETER_HL!H66</f>
        <v>-5.3465593134533087</v>
      </c>
      <c r="Z66" t="str">
        <f t="shared" si="1"/>
        <v>SP</v>
      </c>
    </row>
    <row r="67" spans="1:26" ht="15" x14ac:dyDescent="0.25">
      <c r="A67">
        <v>40</v>
      </c>
      <c r="B67" s="198"/>
      <c r="C67" s="105" t="s">
        <v>795</v>
      </c>
      <c r="D67" s="105" t="s">
        <v>872</v>
      </c>
      <c r="E67" s="195" t="s">
        <v>802</v>
      </c>
      <c r="F67" s="240" t="str">
        <f t="shared" si="2"/>
        <v>DVS-RS75A40</v>
      </c>
      <c r="G67" s="194">
        <v>0.50874430488067857</v>
      </c>
      <c r="H67" s="194">
        <v>-5.6910329297467861</v>
      </c>
      <c r="I67" s="194">
        <f>((CALC!$D$11+CALC!$D$12)/2)*PARAMETER_HL!G67+PARAMETER_HL!H67</f>
        <v>-5.6910329297467861</v>
      </c>
      <c r="Z67" t="str">
        <f t="shared" si="1"/>
        <v>SP</v>
      </c>
    </row>
    <row r="68" spans="1:26" ht="15" x14ac:dyDescent="0.25">
      <c r="A68">
        <v>50</v>
      </c>
      <c r="C68" s="105" t="s">
        <v>795</v>
      </c>
      <c r="D68" s="105" t="s">
        <v>872</v>
      </c>
      <c r="E68" s="195" t="s">
        <v>803</v>
      </c>
      <c r="F68" s="240" t="str">
        <f t="shared" ref="F68:F88" si="3">C68&amp;E68</f>
        <v>DVS-RS90A50</v>
      </c>
      <c r="G68" s="194">
        <v>0.56676650539745455</v>
      </c>
      <c r="H68" s="194">
        <v>-6.3025624703540863</v>
      </c>
      <c r="I68" s="194">
        <f>((CALC!$D$11+CALC!$D$12)/2)*PARAMETER_HL!G68+PARAMETER_HL!H68</f>
        <v>-6.3025624703540863</v>
      </c>
      <c r="Z68" t="str">
        <f t="shared" si="1"/>
        <v>SP</v>
      </c>
    </row>
    <row r="69" spans="1:26" ht="15" x14ac:dyDescent="0.25">
      <c r="A69">
        <v>63</v>
      </c>
      <c r="C69" s="105" t="s">
        <v>795</v>
      </c>
      <c r="D69" s="105" t="s">
        <v>872</v>
      </c>
      <c r="E69" s="195" t="s">
        <v>804</v>
      </c>
      <c r="F69" s="240" t="str">
        <f t="shared" si="3"/>
        <v>DVS-RS125A63</v>
      </c>
      <c r="G69" s="194">
        <v>0.53330564262074709</v>
      </c>
      <c r="H69" s="194">
        <v>-5.9359508207036669</v>
      </c>
      <c r="I69" s="194">
        <f>((CALC!$D$11+CALC!$D$12)/2)*PARAMETER_HL!G69+PARAMETER_HL!H69</f>
        <v>-5.9359508207036669</v>
      </c>
      <c r="Z69" t="str">
        <f t="shared" ref="Z69:Z88" si="4">D69</f>
        <v>SP</v>
      </c>
    </row>
    <row r="70" spans="1:26" ht="15" x14ac:dyDescent="0.25">
      <c r="A70">
        <v>75</v>
      </c>
      <c r="C70" s="105" t="s">
        <v>795</v>
      </c>
      <c r="D70" s="105" t="s">
        <v>872</v>
      </c>
      <c r="E70" s="195" t="s">
        <v>805</v>
      </c>
      <c r="F70" s="240" t="str">
        <f t="shared" si="3"/>
        <v>DVS-RS125A75</v>
      </c>
      <c r="G70" s="194">
        <v>0.67845582912322178</v>
      </c>
      <c r="H70" s="194">
        <v>-7.4595805792936183</v>
      </c>
      <c r="I70" s="194">
        <f>((CALC!$D$11+CALC!$D$12)/2)*PARAMETER_HL!G70+PARAMETER_HL!H70</f>
        <v>-7.4595805792936183</v>
      </c>
      <c r="Z70" t="str">
        <f t="shared" si="4"/>
        <v>SP</v>
      </c>
    </row>
    <row r="71" spans="1:26" ht="15" x14ac:dyDescent="0.25">
      <c r="A71">
        <v>90</v>
      </c>
      <c r="C71" s="105" t="s">
        <v>795</v>
      </c>
      <c r="D71" s="105" t="s">
        <v>872</v>
      </c>
      <c r="E71" s="195" t="s">
        <v>806</v>
      </c>
      <c r="F71" s="240" t="str">
        <f t="shared" si="3"/>
        <v>DVS-RS160A90</v>
      </c>
      <c r="G71" s="194">
        <v>0.60730513215975368</v>
      </c>
      <c r="H71" s="194">
        <v>-6.6919095499340742</v>
      </c>
      <c r="I71" s="194">
        <f>((CALC!$D$11+CALC!$D$12)/2)*PARAMETER_HL!G71+PARAMETER_HL!H71</f>
        <v>-6.6919095499340742</v>
      </c>
      <c r="Z71" t="str">
        <f t="shared" si="4"/>
        <v>SP</v>
      </c>
    </row>
    <row r="72" spans="1:26" ht="15" x14ac:dyDescent="0.25">
      <c r="A72">
        <v>16</v>
      </c>
      <c r="B72" s="105" t="s">
        <v>852</v>
      </c>
      <c r="C72" s="105" t="s">
        <v>795</v>
      </c>
      <c r="D72" s="105" t="s">
        <v>795</v>
      </c>
      <c r="E72" s="195" t="s">
        <v>838</v>
      </c>
      <c r="F72" s="240" t="str">
        <f t="shared" si="3"/>
        <v>DVS-RH63A2/16</v>
      </c>
      <c r="G72" s="194">
        <v>0.23513225955477879</v>
      </c>
      <c r="H72" s="194">
        <v>-1.1756612977738907</v>
      </c>
      <c r="I72" s="194">
        <f>((CALC!$D$11+CALC!$D$12)/2)*PARAMETER_HL!G72+PARAMETER_HL!H72</f>
        <v>-1.1756612977738907</v>
      </c>
      <c r="Z72" t="str">
        <f t="shared" si="4"/>
        <v>D</v>
      </c>
    </row>
    <row r="73" spans="1:26" ht="15" x14ac:dyDescent="0.25">
      <c r="A73">
        <v>20</v>
      </c>
      <c r="B73" s="105" t="s">
        <v>852</v>
      </c>
      <c r="C73" s="105" t="s">
        <v>795</v>
      </c>
      <c r="D73" s="105" t="s">
        <v>795</v>
      </c>
      <c r="E73" s="195" t="s">
        <v>839</v>
      </c>
      <c r="F73" s="240" t="str">
        <f t="shared" si="3"/>
        <v>DVS-RH75A2/20</v>
      </c>
      <c r="G73" s="194">
        <v>0.24052599198338936</v>
      </c>
      <c r="H73" s="194">
        <v>-1.2026299599169441</v>
      </c>
      <c r="I73" s="194">
        <f>((CALC!$D$11+CALC!$D$12)/2)*PARAMETER_HL!G73+PARAMETER_HL!H73</f>
        <v>-1.2026299599169441</v>
      </c>
      <c r="Z73" t="str">
        <f t="shared" si="4"/>
        <v>D</v>
      </c>
    </row>
    <row r="74" spans="1:26" ht="15" x14ac:dyDescent="0.25">
      <c r="A74">
        <v>25</v>
      </c>
      <c r="B74" s="105" t="s">
        <v>852</v>
      </c>
      <c r="C74" s="105" t="s">
        <v>795</v>
      </c>
      <c r="D74" s="105" t="s">
        <v>795</v>
      </c>
      <c r="E74" s="195" t="s">
        <v>840</v>
      </c>
      <c r="F74" s="240" t="str">
        <f t="shared" si="3"/>
        <v>DVS-RH125A2/25</v>
      </c>
      <c r="G74" s="194">
        <v>0.19946454557331958</v>
      </c>
      <c r="H74" s="194">
        <v>-0.9973227278665977</v>
      </c>
      <c r="I74" s="194">
        <f>((CALC!$D$11+CALC!$D$12)/2)*PARAMETER_HL!G74+PARAMETER_HL!H74</f>
        <v>-0.9973227278665977</v>
      </c>
      <c r="Z74" t="str">
        <f t="shared" si="4"/>
        <v>D</v>
      </c>
    </row>
    <row r="75" spans="1:26" ht="15" x14ac:dyDescent="0.25">
      <c r="A75">
        <v>32</v>
      </c>
      <c r="B75" s="105" t="s">
        <v>852</v>
      </c>
      <c r="C75" s="105" t="s">
        <v>795</v>
      </c>
      <c r="D75" s="105" t="s">
        <v>795</v>
      </c>
      <c r="E75" s="195" t="s">
        <v>841</v>
      </c>
      <c r="F75" s="240" t="str">
        <f t="shared" si="3"/>
        <v>DVS-RH125A2/32</v>
      </c>
      <c r="G75" s="194">
        <v>0.25507654259849299</v>
      </c>
      <c r="H75" s="194">
        <v>-1.2753827129924638</v>
      </c>
      <c r="I75" s="194">
        <f>((CALC!$D$11+CALC!$D$12)/2)*PARAMETER_HL!G75+PARAMETER_HL!H75</f>
        <v>-1.2753827129924638</v>
      </c>
      <c r="Z75" t="str">
        <f t="shared" si="4"/>
        <v>D</v>
      </c>
    </row>
    <row r="76" spans="1:26" ht="15" x14ac:dyDescent="0.25">
      <c r="A76">
        <v>40</v>
      </c>
      <c r="B76" s="105" t="s">
        <v>852</v>
      </c>
      <c r="C76" s="105" t="s">
        <v>795</v>
      </c>
      <c r="D76" s="105" t="s">
        <v>795</v>
      </c>
      <c r="E76" s="195" t="s">
        <v>842</v>
      </c>
      <c r="F76" s="240" t="str">
        <f t="shared" si="3"/>
        <v>DVS-RH160A2/40</v>
      </c>
      <c r="G76" s="194">
        <v>0.23240139815121788</v>
      </c>
      <c r="H76" s="194">
        <v>-1.2921118520974293</v>
      </c>
      <c r="I76" s="194">
        <f>((CALC!$D$11+CALC!$D$12)/2)*PARAMETER_HL!G76+PARAMETER_HL!H76</f>
        <v>-1.2921118520974293</v>
      </c>
      <c r="Z76" t="str">
        <f t="shared" si="4"/>
        <v>D</v>
      </c>
    </row>
    <row r="77" spans="1:26" ht="15" x14ac:dyDescent="0.25">
      <c r="A77">
        <v>50</v>
      </c>
      <c r="B77" s="105" t="s">
        <v>852</v>
      </c>
      <c r="C77" s="105" t="s">
        <v>795</v>
      </c>
      <c r="D77" s="105" t="s">
        <v>795</v>
      </c>
      <c r="E77" s="195" t="s">
        <v>843</v>
      </c>
      <c r="F77" s="240" t="str">
        <f t="shared" si="3"/>
        <v>DVS-RH160A2/50</v>
      </c>
      <c r="G77" s="194">
        <v>0.31027419683938195</v>
      </c>
      <c r="H77" s="194">
        <v>-1.8319357471505597</v>
      </c>
      <c r="I77" s="194">
        <f>((CALC!$D$11+CALC!$D$12)/2)*PARAMETER_HL!G77+PARAMETER_HL!H77</f>
        <v>-1.8319357471505597</v>
      </c>
      <c r="Z77" t="str">
        <f t="shared" si="4"/>
        <v>D</v>
      </c>
    </row>
    <row r="78" spans="1:26" ht="15" x14ac:dyDescent="0.25">
      <c r="A78">
        <v>63</v>
      </c>
      <c r="B78" s="105" t="s">
        <v>852</v>
      </c>
      <c r="C78" s="105" t="s">
        <v>795</v>
      </c>
      <c r="D78" s="105" t="s">
        <v>795</v>
      </c>
      <c r="E78" s="195" t="s">
        <v>844</v>
      </c>
      <c r="F78" s="240" t="str">
        <f t="shared" si="3"/>
        <v>DVS-RH200A2/63</v>
      </c>
      <c r="G78" s="194">
        <v>0.34260668966987856</v>
      </c>
      <c r="H78" s="194">
        <v>-2.4785351735902896</v>
      </c>
      <c r="I78" s="194">
        <f>((CALC!$D$11+CALC!$D$12)/2)*PARAMETER_HL!G78+PARAMETER_HL!H78</f>
        <v>-2.4785351735902896</v>
      </c>
      <c r="Z78" t="str">
        <f t="shared" si="4"/>
        <v>D</v>
      </c>
    </row>
    <row r="79" spans="1:26" ht="15" x14ac:dyDescent="0.25">
      <c r="A79">
        <v>16</v>
      </c>
      <c r="B79" s="105" t="s">
        <v>853</v>
      </c>
      <c r="C79" s="105" t="s">
        <v>795</v>
      </c>
      <c r="D79" s="105" t="s">
        <v>795</v>
      </c>
      <c r="E79" s="195" t="s">
        <v>845</v>
      </c>
      <c r="F79" s="240" t="str">
        <f t="shared" si="3"/>
        <v>DVS-RH90A2/16</v>
      </c>
      <c r="G79" s="194">
        <v>0.21684545102895453</v>
      </c>
      <c r="H79" s="194">
        <v>-1.0842272551447731</v>
      </c>
      <c r="I79" s="194">
        <f>((CALC!$D$11+CALC!$D$12)/2)*PARAMETER_HL!G79+PARAMETER_HL!H79</f>
        <v>-1.0842272551447731</v>
      </c>
      <c r="Z79" t="str">
        <f t="shared" si="4"/>
        <v>D</v>
      </c>
    </row>
    <row r="80" spans="1:26" ht="15" x14ac:dyDescent="0.25">
      <c r="A80">
        <v>20</v>
      </c>
      <c r="B80" s="105" t="s">
        <v>853</v>
      </c>
      <c r="C80" s="105" t="s">
        <v>795</v>
      </c>
      <c r="D80" s="105" t="s">
        <v>795</v>
      </c>
      <c r="E80" s="195" t="s">
        <v>846</v>
      </c>
      <c r="F80" s="240" t="str">
        <f t="shared" si="3"/>
        <v>DVS-RH125A2/20</v>
      </c>
      <c r="G80" s="194">
        <v>0.16649822658719207</v>
      </c>
      <c r="H80" s="194">
        <v>-0.83249113293595833</v>
      </c>
      <c r="I80" s="194">
        <f>((CALC!$D$11+CALC!$D$12)/2)*PARAMETER_HL!G80+PARAMETER_HL!H80</f>
        <v>-0.83249113293595833</v>
      </c>
      <c r="Z80" t="str">
        <f t="shared" si="4"/>
        <v>D</v>
      </c>
    </row>
    <row r="81" spans="1:26" ht="15" x14ac:dyDescent="0.25">
      <c r="A81">
        <v>32</v>
      </c>
      <c r="B81" s="105" t="s">
        <v>853</v>
      </c>
      <c r="C81" s="105" t="s">
        <v>795</v>
      </c>
      <c r="D81" s="105" t="s">
        <v>795</v>
      </c>
      <c r="E81" s="195" t="s">
        <v>847</v>
      </c>
      <c r="F81" s="240" t="str">
        <f t="shared" si="3"/>
        <v>DVS-RH160A2/32</v>
      </c>
      <c r="G81" s="194">
        <v>0.18928468010828531</v>
      </c>
      <c r="H81" s="194">
        <v>-1.0427744086628241</v>
      </c>
      <c r="I81" s="194">
        <f>((CALC!$D$11+CALC!$D$12)/2)*PARAMETER_HL!G81+PARAMETER_HL!H81</f>
        <v>-1.0427744086628241</v>
      </c>
      <c r="Z81" t="str">
        <f t="shared" si="4"/>
        <v>D</v>
      </c>
    </row>
    <row r="82" spans="1:26" ht="15" x14ac:dyDescent="0.25">
      <c r="A82">
        <v>16</v>
      </c>
      <c r="B82" s="105"/>
      <c r="C82" s="105" t="s">
        <v>795</v>
      </c>
      <c r="D82" s="105" t="s">
        <v>795</v>
      </c>
      <c r="E82" s="195" t="s">
        <v>826</v>
      </c>
      <c r="F82" s="240" t="str">
        <f t="shared" si="3"/>
        <v>DVS-RS63A2/16</v>
      </c>
      <c r="G82" s="194">
        <v>0.23513225955477879</v>
      </c>
      <c r="H82" s="194">
        <v>-1.1756612977738907</v>
      </c>
      <c r="I82" s="194">
        <f>((CALC!$D$11+CALC!$D$12)/2)*PARAMETER_HL!G82+PARAMETER_HL!H82</f>
        <v>-1.1756612977738907</v>
      </c>
      <c r="Z82" t="str">
        <f t="shared" si="4"/>
        <v>D</v>
      </c>
    </row>
    <row r="83" spans="1:26" ht="15" x14ac:dyDescent="0.25">
      <c r="A83">
        <v>20</v>
      </c>
      <c r="B83" s="105"/>
      <c r="C83" s="105" t="s">
        <v>795</v>
      </c>
      <c r="D83" s="105" t="s">
        <v>795</v>
      </c>
      <c r="E83" s="195" t="s">
        <v>828</v>
      </c>
      <c r="F83" s="240" t="str">
        <f t="shared" si="3"/>
        <v>DVS-RS75A2/20</v>
      </c>
      <c r="G83" s="194">
        <v>0.24052599198338936</v>
      </c>
      <c r="H83" s="194">
        <v>-1.2026299599169441</v>
      </c>
      <c r="I83" s="194">
        <f>((CALC!$D$11+CALC!$D$12)/2)*PARAMETER_HL!G83+PARAMETER_HL!H83</f>
        <v>-1.2026299599169441</v>
      </c>
      <c r="Z83" t="str">
        <f t="shared" si="4"/>
        <v>D</v>
      </c>
    </row>
    <row r="84" spans="1:26" ht="15" x14ac:dyDescent="0.25">
      <c r="A84">
        <v>25</v>
      </c>
      <c r="B84" s="198"/>
      <c r="C84" s="105" t="s">
        <v>795</v>
      </c>
      <c r="D84" s="105" t="s">
        <v>795</v>
      </c>
      <c r="E84" s="195" t="s">
        <v>830</v>
      </c>
      <c r="F84" s="240" t="str">
        <f t="shared" si="3"/>
        <v>DVS-RS125A2/25</v>
      </c>
      <c r="G84" s="194">
        <v>0.19946454557331958</v>
      </c>
      <c r="H84" s="194">
        <v>-0.9973227278665977</v>
      </c>
      <c r="I84" s="194">
        <f>((CALC!$D$11+CALC!$D$12)/2)*PARAMETER_HL!G84+PARAMETER_HL!H84</f>
        <v>-0.9973227278665977</v>
      </c>
      <c r="Z84" t="str">
        <f t="shared" si="4"/>
        <v>D</v>
      </c>
    </row>
    <row r="85" spans="1:26" ht="15" x14ac:dyDescent="0.25">
      <c r="A85">
        <v>32</v>
      </c>
      <c r="B85" s="198"/>
      <c r="C85" s="105" t="s">
        <v>795</v>
      </c>
      <c r="D85" s="105" t="s">
        <v>795</v>
      </c>
      <c r="E85" s="195" t="s">
        <v>832</v>
      </c>
      <c r="F85" s="240" t="str">
        <f t="shared" si="3"/>
        <v>DVS-RS125A2/32</v>
      </c>
      <c r="G85" s="194">
        <v>0.25507654259849299</v>
      </c>
      <c r="H85" s="194">
        <v>-1.2753827129924638</v>
      </c>
      <c r="I85" s="194">
        <f>((CALC!$D$11+CALC!$D$12)/2)*PARAMETER_HL!G85+PARAMETER_HL!H85</f>
        <v>-1.2753827129924638</v>
      </c>
      <c r="Z85" t="str">
        <f t="shared" si="4"/>
        <v>D</v>
      </c>
    </row>
    <row r="86" spans="1:26" ht="15" x14ac:dyDescent="0.25">
      <c r="A86">
        <v>40</v>
      </c>
      <c r="B86" s="198"/>
      <c r="C86" s="105" t="s">
        <v>795</v>
      </c>
      <c r="D86" s="105" t="s">
        <v>795</v>
      </c>
      <c r="E86" s="195" t="s">
        <v>834</v>
      </c>
      <c r="F86" s="240" t="str">
        <f t="shared" si="3"/>
        <v>DVS-RS160A2/40</v>
      </c>
      <c r="G86" s="194">
        <v>0.23240139815121788</v>
      </c>
      <c r="H86" s="194">
        <v>-1.2921118520974293</v>
      </c>
      <c r="I86" s="194">
        <f>((CALC!$D$11+CALC!$D$12)/2)*PARAMETER_HL!G86+PARAMETER_HL!H86</f>
        <v>-1.2921118520974293</v>
      </c>
      <c r="Z86" t="str">
        <f t="shared" si="4"/>
        <v>D</v>
      </c>
    </row>
    <row r="87" spans="1:26" ht="15" x14ac:dyDescent="0.25">
      <c r="A87">
        <v>50</v>
      </c>
      <c r="C87" s="105" t="s">
        <v>795</v>
      </c>
      <c r="D87" s="105" t="s">
        <v>795</v>
      </c>
      <c r="E87" s="195" t="s">
        <v>836</v>
      </c>
      <c r="F87" s="240" t="str">
        <f t="shared" si="3"/>
        <v>DVS-RS160A2/50</v>
      </c>
      <c r="G87" s="194">
        <v>0.31027419683938195</v>
      </c>
      <c r="H87" s="194">
        <v>-1.8319357471505597</v>
      </c>
      <c r="I87" s="194">
        <f>((CALC!$D$11+CALC!$D$12)/2)*PARAMETER_HL!G87+PARAMETER_HL!H87</f>
        <v>-1.8319357471505597</v>
      </c>
      <c r="Z87" t="str">
        <f t="shared" si="4"/>
        <v>D</v>
      </c>
    </row>
    <row r="88" spans="1:26" ht="15" x14ac:dyDescent="0.25">
      <c r="A88">
        <v>63</v>
      </c>
      <c r="C88" s="105" t="s">
        <v>795</v>
      </c>
      <c r="D88" s="105" t="s">
        <v>795</v>
      </c>
      <c r="E88" s="195" t="s">
        <v>837</v>
      </c>
      <c r="F88" s="240" t="str">
        <f t="shared" si="3"/>
        <v>DVS-RS200A2/63</v>
      </c>
      <c r="G88" s="194">
        <v>0.34260668966987856</v>
      </c>
      <c r="H88" s="194">
        <v>-2.4785351735902896</v>
      </c>
      <c r="I88" s="194">
        <f>((CALC!$D$11+CALC!$D$12)/2)*PARAMETER_HL!G88+PARAMETER_HL!H88</f>
        <v>-2.4785351735902896</v>
      </c>
      <c r="Z88" t="str">
        <f t="shared" si="4"/>
        <v>D</v>
      </c>
    </row>
    <row r="89" spans="1:26" x14ac:dyDescent="0.2">
      <c r="C89" s="105"/>
      <c r="D89" s="105"/>
    </row>
    <row r="90" spans="1:26" x14ac:dyDescent="0.2">
      <c r="C90" s="105"/>
      <c r="D90" s="105"/>
    </row>
    <row r="91" spans="1:26" x14ac:dyDescent="0.2">
      <c r="C91" s="105"/>
      <c r="D91" s="105"/>
    </row>
    <row r="92" spans="1:26" x14ac:dyDescent="0.2">
      <c r="C92" s="105"/>
      <c r="D92" s="105"/>
    </row>
    <row r="93" spans="1:26" x14ac:dyDescent="0.2">
      <c r="C93" s="105"/>
      <c r="D93" s="105"/>
    </row>
    <row r="94" spans="1:26" x14ac:dyDescent="0.2">
      <c r="C94" s="105"/>
      <c r="D94" s="105"/>
    </row>
    <row r="95" spans="1:26" x14ac:dyDescent="0.2">
      <c r="C95" s="105"/>
      <c r="D95" s="105"/>
    </row>
    <row r="96" spans="1:26" x14ac:dyDescent="0.2">
      <c r="C96" s="105"/>
      <c r="D96" s="105"/>
    </row>
    <row r="97" spans="3:4" customFormat="1" x14ac:dyDescent="0.2">
      <c r="C97" s="105"/>
      <c r="D97" s="105"/>
    </row>
  </sheetData>
  <autoFilter ref="A3:I88"/>
  <dataConsolidate/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5" name="Button 4">
              <controlPr defaultSize="0" print="0" autoFill="0" autoLine="0" autoPict="0" macro="[0]!Productselection" altText="O_x000a_">
                <anchor moveWithCells="1" sizeWithCells="1">
                  <from>
                    <xdr:col>12</xdr:col>
                    <xdr:colOff>9525</xdr:colOff>
                    <xdr:row>0</xdr:row>
                    <xdr:rowOff>104775</xdr:rowOff>
                  </from>
                  <to>
                    <xdr:col>14</xdr:col>
                    <xdr:colOff>104775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2:K31"/>
  <sheetViews>
    <sheetView workbookViewId="0">
      <selection activeCell="C13" sqref="C13"/>
    </sheetView>
  </sheetViews>
  <sheetFormatPr defaultColWidth="11.42578125" defaultRowHeight="12.75" x14ac:dyDescent="0.2"/>
  <cols>
    <col min="1" max="1" width="12.85546875" style="203" bestFit="1" customWidth="1"/>
    <col min="2" max="2" width="25.7109375" style="203" bestFit="1" customWidth="1"/>
    <col min="3" max="3" width="13.140625" style="203" bestFit="1" customWidth="1"/>
    <col min="4" max="4" width="13.5703125" style="203" customWidth="1"/>
    <col min="5" max="5" width="10.85546875" style="203" customWidth="1"/>
    <col min="6" max="6" width="10.5703125" style="203" bestFit="1" customWidth="1"/>
    <col min="7" max="7" width="12.140625" style="203" bestFit="1" customWidth="1"/>
    <col min="8" max="8" width="11.85546875" style="203" bestFit="1" customWidth="1"/>
    <col min="9" max="9" width="9.5703125" style="203" bestFit="1" customWidth="1"/>
    <col min="10" max="10" width="12" style="203" bestFit="1" customWidth="1"/>
    <col min="11" max="11" width="5.5703125" style="203" bestFit="1" customWidth="1"/>
    <col min="12" max="16384" width="11.42578125" style="203"/>
  </cols>
  <sheetData>
    <row r="2" spans="1:9" x14ac:dyDescent="0.2">
      <c r="A2" s="202" t="s">
        <v>214</v>
      </c>
    </row>
    <row r="4" spans="1:9" x14ac:dyDescent="0.2">
      <c r="A4" s="210"/>
      <c r="B4" s="210" t="s">
        <v>871</v>
      </c>
      <c r="C4" s="210" t="str">
        <f>CALC!G29</f>
        <v>E</v>
      </c>
      <c r="D4" s="210" t="s">
        <v>875</v>
      </c>
      <c r="E4" s="210"/>
      <c r="F4" s="210"/>
      <c r="G4" s="210"/>
      <c r="H4" s="210"/>
    </row>
    <row r="5" spans="1:9" x14ac:dyDescent="0.2">
      <c r="A5" s="210"/>
      <c r="B5" s="210" t="s">
        <v>874</v>
      </c>
      <c r="C5" s="210">
        <f>CALC!D30</f>
        <v>0</v>
      </c>
      <c r="D5" s="210"/>
      <c r="E5" s="210"/>
      <c r="F5" s="210"/>
      <c r="G5" s="210"/>
      <c r="H5" s="210"/>
    </row>
    <row r="7" spans="1:9" x14ac:dyDescent="0.2">
      <c r="A7" s="210"/>
      <c r="B7" s="210"/>
      <c r="C7" s="215" t="s">
        <v>854</v>
      </c>
      <c r="D7" s="221" t="s">
        <v>854</v>
      </c>
      <c r="E7" s="210"/>
      <c r="F7" s="210"/>
      <c r="G7" s="210"/>
      <c r="H7" s="210"/>
    </row>
    <row r="8" spans="1:9" x14ac:dyDescent="0.2">
      <c r="A8" s="210"/>
      <c r="B8" s="210"/>
      <c r="C8" s="215" t="s">
        <v>39</v>
      </c>
      <c r="D8" s="221" t="s">
        <v>40</v>
      </c>
      <c r="E8" s="210"/>
      <c r="F8" s="210"/>
      <c r="G8" s="210"/>
      <c r="H8" s="210"/>
      <c r="I8" s="210"/>
    </row>
    <row r="9" spans="1:9" x14ac:dyDescent="0.2">
      <c r="A9" s="211" t="s">
        <v>855</v>
      </c>
      <c r="B9" s="210" t="s">
        <v>856</v>
      </c>
      <c r="C9" s="216">
        <f>CALC!$K$15</f>
        <v>16</v>
      </c>
      <c r="D9" s="222" t="str">
        <f>CALC!$K$17</f>
        <v>------</v>
      </c>
      <c r="E9" s="210" t="s">
        <v>857</v>
      </c>
      <c r="F9" s="210"/>
      <c r="G9" s="210"/>
      <c r="H9" s="210"/>
      <c r="I9" s="210"/>
    </row>
    <row r="10" spans="1:9" ht="15" x14ac:dyDescent="0.2">
      <c r="A10" s="212" t="s">
        <v>777</v>
      </c>
      <c r="B10" s="54" t="s">
        <v>778</v>
      </c>
      <c r="C10" s="216">
        <f>CALC!$D$11</f>
        <v>0</v>
      </c>
      <c r="D10" s="222">
        <f>CALC!$D$12</f>
        <v>0</v>
      </c>
      <c r="E10" s="54" t="s">
        <v>239</v>
      </c>
      <c r="F10" s="54"/>
      <c r="G10" s="210"/>
      <c r="H10" s="210"/>
      <c r="I10" s="210"/>
    </row>
    <row r="11" spans="1:9" ht="15" x14ac:dyDescent="0.2">
      <c r="A11" s="212" t="s">
        <v>862</v>
      </c>
      <c r="B11" s="213" t="s">
        <v>858</v>
      </c>
      <c r="C11" s="217">
        <f>((LOOKUP(C9,PARAMETER_R!$A$7:$A$20,PARAMETER_R!$B$7:$B$20)/2)^2*PI()*0.001)</f>
        <v>0.10568317686676065</v>
      </c>
      <c r="D11" s="223" t="e">
        <f>((LOOKUP(D9,PARAMETER_R!$A$7:$A$20,PARAMETER_R!$B$7:$B$20)/2)^2*PI()*0.001)</f>
        <v>#N/A</v>
      </c>
      <c r="E11" s="54" t="s">
        <v>779</v>
      </c>
      <c r="F11" s="54" t="s">
        <v>780</v>
      </c>
      <c r="G11" s="210"/>
    </row>
    <row r="12" spans="1:9" ht="15" x14ac:dyDescent="0.2">
      <c r="A12" s="212" t="s">
        <v>863</v>
      </c>
      <c r="B12" s="210" t="s">
        <v>861</v>
      </c>
      <c r="C12" s="217">
        <f>C11*PARAMETER_R!C28</f>
        <v>0</v>
      </c>
      <c r="D12" s="223" t="e">
        <f>D11*PARAMETER_R!C28</f>
        <v>#N/A</v>
      </c>
      <c r="E12" s="210" t="s">
        <v>779</v>
      </c>
      <c r="F12" s="213" t="s">
        <v>868</v>
      </c>
      <c r="G12" s="214">
        <f>IF(ISERROR(D12),C12,C12+D12)</f>
        <v>0</v>
      </c>
      <c r="H12" s="213" t="s">
        <v>867</v>
      </c>
    </row>
    <row r="13" spans="1:9" x14ac:dyDescent="0.2">
      <c r="A13" s="149" t="s">
        <v>781</v>
      </c>
      <c r="B13" s="54" t="s">
        <v>782</v>
      </c>
      <c r="C13" s="218">
        <f>PARAMETER_R!C28/CALC!$D$25</f>
        <v>0</v>
      </c>
      <c r="D13" s="224">
        <f>PARAMETER_R!C28/CALC!$D$25</f>
        <v>0</v>
      </c>
      <c r="E13" s="54" t="s">
        <v>783</v>
      </c>
      <c r="F13" s="54"/>
      <c r="G13" s="210"/>
      <c r="H13" s="210"/>
      <c r="I13" s="210"/>
    </row>
    <row r="14" spans="1:9" x14ac:dyDescent="0.2">
      <c r="A14" s="149" t="s">
        <v>864</v>
      </c>
      <c r="B14" s="213" t="s">
        <v>859</v>
      </c>
      <c r="C14" s="238" t="e">
        <f>IF(C4="E",VLOOKUP($C$4&amp;$C$5,PARAMETER_HL!$F$3:$I$88,4,0),VLOOKUP($C$4&amp;$C$5,PARAMETER_HL!$F$3:$I$88,4,0)*0.5)</f>
        <v>#N/A</v>
      </c>
      <c r="D14" s="239" t="str">
        <f>IF(C4="E","0",VLOOKUP($C$4&amp;$C$5,PARAMETER_HL!$F$3:$I$88,4,0)*0.5)</f>
        <v>0</v>
      </c>
      <c r="E14" s="54" t="s">
        <v>784</v>
      </c>
      <c r="F14" s="54"/>
      <c r="G14" s="210"/>
      <c r="H14" s="210"/>
    </row>
    <row r="15" spans="1:9" x14ac:dyDescent="0.2">
      <c r="A15" s="149" t="s">
        <v>865</v>
      </c>
      <c r="B15" s="213" t="s">
        <v>860</v>
      </c>
      <c r="C15" s="229" t="e">
        <f>C14*PARAMETER_R!C28</f>
        <v>#N/A</v>
      </c>
      <c r="D15" s="230">
        <f>D14*PARAMETER_R!C28</f>
        <v>0</v>
      </c>
      <c r="E15" s="213" t="s">
        <v>784</v>
      </c>
      <c r="F15" s="54"/>
      <c r="G15" s="210"/>
      <c r="H15" s="210"/>
    </row>
    <row r="16" spans="1:9" x14ac:dyDescent="0.2">
      <c r="A16" s="149"/>
      <c r="B16" s="54"/>
      <c r="C16" s="216"/>
      <c r="D16" s="222"/>
      <c r="E16" s="54"/>
      <c r="F16" s="54"/>
      <c r="G16" s="210"/>
      <c r="H16" s="210"/>
    </row>
    <row r="17" spans="1:11" x14ac:dyDescent="0.2">
      <c r="A17" s="149" t="s">
        <v>785</v>
      </c>
      <c r="B17" s="54" t="s">
        <v>786</v>
      </c>
      <c r="C17" s="219">
        <v>4190</v>
      </c>
      <c r="D17" s="225">
        <v>4190</v>
      </c>
      <c r="E17" s="54" t="s">
        <v>787</v>
      </c>
      <c r="F17" s="54"/>
      <c r="G17" s="210"/>
      <c r="H17" s="210"/>
    </row>
    <row r="18" spans="1:11" x14ac:dyDescent="0.2">
      <c r="A18" s="149"/>
      <c r="B18" s="54"/>
      <c r="C18" s="216"/>
      <c r="D18" s="222"/>
      <c r="E18" s="54"/>
      <c r="F18" s="54"/>
      <c r="G18" s="210"/>
      <c r="H18" s="210"/>
    </row>
    <row r="19" spans="1:11" x14ac:dyDescent="0.2">
      <c r="A19" s="149" t="s">
        <v>866</v>
      </c>
      <c r="B19" s="54" t="s">
        <v>788</v>
      </c>
      <c r="C19" s="220">
        <f>C11*C17*C10</f>
        <v>0</v>
      </c>
      <c r="D19" s="226" t="e">
        <f>D11*D17*D10</f>
        <v>#N/A</v>
      </c>
      <c r="E19" s="54" t="s">
        <v>789</v>
      </c>
      <c r="F19" s="54"/>
      <c r="G19" s="210"/>
      <c r="H19" s="210"/>
    </row>
    <row r="20" spans="1:11" x14ac:dyDescent="0.2">
      <c r="A20" s="149" t="s">
        <v>790</v>
      </c>
      <c r="B20" s="54" t="s">
        <v>791</v>
      </c>
      <c r="C20" s="220" t="e">
        <f>C14*C13</f>
        <v>#N/A</v>
      </c>
      <c r="D20" s="226">
        <f>D14*D13</f>
        <v>0</v>
      </c>
      <c r="E20" s="54" t="s">
        <v>789</v>
      </c>
      <c r="F20" s="54"/>
      <c r="G20" s="210"/>
      <c r="H20" s="210"/>
    </row>
    <row r="21" spans="1:11" x14ac:dyDescent="0.2">
      <c r="A21" s="149"/>
      <c r="B21" s="54"/>
      <c r="C21" s="216"/>
      <c r="D21" s="222"/>
      <c r="E21" s="54"/>
      <c r="F21" s="54"/>
      <c r="G21" s="210"/>
      <c r="H21" s="210"/>
    </row>
    <row r="22" spans="1:11" ht="15" x14ac:dyDescent="0.2">
      <c r="A22" s="212" t="s">
        <v>777</v>
      </c>
      <c r="B22" s="54" t="s">
        <v>778</v>
      </c>
      <c r="C22" s="217" t="e">
        <f>(C19-C20)/(C11*C17)</f>
        <v>#N/A</v>
      </c>
      <c r="D22" s="223" t="e">
        <f>(D19-D20)/(D11*D17)</f>
        <v>#N/A</v>
      </c>
      <c r="E22" s="54" t="s">
        <v>239</v>
      </c>
      <c r="F22" s="54"/>
      <c r="G22" s="210"/>
      <c r="H22" s="210"/>
      <c r="I22" s="210"/>
    </row>
    <row r="23" spans="1:11" ht="15" x14ac:dyDescent="0.2">
      <c r="A23" s="212" t="s">
        <v>792</v>
      </c>
      <c r="B23" s="54" t="s">
        <v>793</v>
      </c>
      <c r="C23" s="227" t="e">
        <f>C10-C22</f>
        <v>#N/A</v>
      </c>
      <c r="D23" s="228" t="e">
        <f>D10-D22</f>
        <v>#N/A</v>
      </c>
      <c r="E23" s="54" t="s">
        <v>794</v>
      </c>
      <c r="F23" s="54"/>
      <c r="G23" s="210"/>
      <c r="H23" s="210"/>
      <c r="I23" s="210"/>
    </row>
    <row r="24" spans="1:11" x14ac:dyDescent="0.2">
      <c r="A24" s="210"/>
      <c r="B24" s="210"/>
      <c r="C24" s="210"/>
      <c r="D24" s="210"/>
      <c r="E24" s="210"/>
      <c r="F24" s="210"/>
      <c r="G24" s="210"/>
      <c r="H24" s="210"/>
    </row>
    <row r="25" spans="1:11" x14ac:dyDescent="0.2">
      <c r="A25" s="210"/>
      <c r="B25" s="210"/>
      <c r="C25" s="210"/>
      <c r="D25" s="210"/>
      <c r="E25" s="210"/>
      <c r="F25" s="210"/>
      <c r="G25" s="210"/>
      <c r="H25" s="210"/>
    </row>
    <row r="26" spans="1:11" x14ac:dyDescent="0.2">
      <c r="A26" s="204" t="s">
        <v>869</v>
      </c>
      <c r="B26" s="205"/>
      <c r="C26" s="206" t="str">
        <f>CALC!$I$8</f>
        <v>not appliable</v>
      </c>
      <c r="D26" s="207" t="s">
        <v>794</v>
      </c>
      <c r="F26" s="205"/>
      <c r="G26" s="205"/>
      <c r="H26" s="205"/>
      <c r="I26" s="205"/>
      <c r="J26" s="205"/>
      <c r="K26" s="205"/>
    </row>
    <row r="27" spans="1:11" x14ac:dyDescent="0.2">
      <c r="A27" s="204" t="s">
        <v>870</v>
      </c>
      <c r="B27" s="205"/>
      <c r="C27" s="206">
        <f>CALC!$D$21</f>
        <v>9.9999999999999994E-12</v>
      </c>
      <c r="D27" s="207" t="s">
        <v>243</v>
      </c>
      <c r="F27" s="205"/>
      <c r="G27" s="205"/>
      <c r="H27" s="205"/>
      <c r="I27" s="205"/>
      <c r="J27" s="205"/>
      <c r="K27" s="205"/>
    </row>
    <row r="28" spans="1:11" x14ac:dyDescent="0.2">
      <c r="A28" s="204" t="s">
        <v>213</v>
      </c>
      <c r="B28" s="205"/>
      <c r="C28" s="208" t="e">
        <f>(C26*C27*C17)/1000</f>
        <v>#VALUE!</v>
      </c>
      <c r="D28" s="209" t="s">
        <v>241</v>
      </c>
      <c r="F28" s="205"/>
      <c r="G28" s="205"/>
      <c r="H28" s="205"/>
      <c r="I28" s="205"/>
      <c r="J28" s="205"/>
      <c r="K28" s="205"/>
    </row>
    <row r="30" spans="1:11" x14ac:dyDescent="0.2">
      <c r="A30" s="210"/>
      <c r="B30" s="210"/>
      <c r="C30" s="210"/>
      <c r="D30" s="210"/>
      <c r="E30" s="210"/>
      <c r="F30" s="210"/>
      <c r="G30" s="210"/>
      <c r="H30" s="210"/>
    </row>
    <row r="31" spans="1:11" x14ac:dyDescent="0.2">
      <c r="A31" s="210"/>
      <c r="B31" s="210"/>
      <c r="C31" s="210"/>
      <c r="D31" s="210"/>
      <c r="E31" s="210"/>
      <c r="F31" s="210"/>
      <c r="G31" s="210"/>
      <c r="H31" s="210"/>
    </row>
  </sheetData>
  <customSheetViews>
    <customSheetView guid="{D3C035BD-38DA-40E9-B8C6-982F4670808B}" state="hidden">
      <selection activeCell="P9" sqref="P9"/>
      <pageMargins left="0.78740157499999996" right="0.78740157499999996" top="0.984251969" bottom="0.984251969" header="0.4921259845" footer="0.4921259845"/>
      <pageSetup paperSize="264" orientation="portrait" horizontalDpi="360" verticalDpi="360" r:id="rId1"/>
      <headerFooter alignWithMargins="0">
        <oddHeader>&amp;A</oddHeader>
        <oddFooter>Seite &amp;P</oddFooter>
      </headerFooter>
    </customSheetView>
  </customSheetViews>
  <phoneticPr fontId="0" type="noConversion"/>
  <pageMargins left="0.78740157499999996" right="0.78740157499999996" top="0.984251969" bottom="0.984251969" header="0.4921259845" footer="0.4921259845"/>
  <pageSetup paperSize="264" orientation="portrait" horizontalDpi="360" verticalDpi="360" r:id="rId2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N101"/>
  <sheetViews>
    <sheetView zoomScaleNormal="100" workbookViewId="0">
      <pane xSplit="1" ySplit="1" topLeftCell="B68" activePane="bottomRight" state="frozen"/>
      <selection pane="topRight" activeCell="B1" sqref="B1"/>
      <selection pane="bottomLeft" activeCell="A2" sqref="A2"/>
      <selection pane="bottomRight" activeCell="N17" sqref="N17"/>
    </sheetView>
  </sheetViews>
  <sheetFormatPr defaultRowHeight="12.75" x14ac:dyDescent="0.2"/>
  <cols>
    <col min="1" max="1" width="6.28515625" bestFit="1" customWidth="1"/>
    <col min="2" max="13" width="33.7109375" customWidth="1"/>
    <col min="14" max="14" width="65.7109375" bestFit="1" customWidth="1"/>
  </cols>
  <sheetData>
    <row r="1" spans="1:14" s="58" customFormat="1" x14ac:dyDescent="0.2">
      <c r="A1" s="58" t="s">
        <v>56</v>
      </c>
      <c r="B1" s="58" t="s">
        <v>54</v>
      </c>
      <c r="C1" s="58" t="s">
        <v>55</v>
      </c>
      <c r="D1" s="58" t="s">
        <v>81</v>
      </c>
      <c r="E1" s="58" t="s">
        <v>173</v>
      </c>
      <c r="F1" s="58" t="s">
        <v>174</v>
      </c>
      <c r="G1" s="58" t="s">
        <v>313</v>
      </c>
      <c r="H1" s="58" t="s">
        <v>365</v>
      </c>
      <c r="I1" s="58" t="s">
        <v>175</v>
      </c>
      <c r="J1" s="58" t="s">
        <v>534</v>
      </c>
      <c r="K1" s="190" t="s">
        <v>597</v>
      </c>
      <c r="L1" s="58" t="s">
        <v>639</v>
      </c>
      <c r="M1" s="58" t="s">
        <v>717</v>
      </c>
      <c r="N1" s="58" t="s">
        <v>924</v>
      </c>
    </row>
    <row r="2" spans="1:14" x14ac:dyDescent="0.2">
      <c r="A2">
        <v>1</v>
      </c>
      <c r="B2" s="105" t="s">
        <v>97</v>
      </c>
      <c r="C2" t="s">
        <v>58</v>
      </c>
      <c r="D2" t="s">
        <v>128</v>
      </c>
      <c r="E2" t="s">
        <v>922</v>
      </c>
      <c r="F2" t="s">
        <v>529</v>
      </c>
      <c r="G2" t="s">
        <v>314</v>
      </c>
      <c r="H2" t="s">
        <v>366</v>
      </c>
      <c r="I2" t="s">
        <v>425</v>
      </c>
      <c r="J2" t="s">
        <v>535</v>
      </c>
      <c r="K2" s="189" t="s">
        <v>598</v>
      </c>
      <c r="L2" s="105" t="s">
        <v>641</v>
      </c>
      <c r="M2" t="s">
        <v>718</v>
      </c>
      <c r="N2" t="s">
        <v>976</v>
      </c>
    </row>
    <row r="3" spans="1:14" x14ac:dyDescent="0.2">
      <c r="A3">
        <v>2</v>
      </c>
      <c r="B3" s="105" t="s">
        <v>530</v>
      </c>
      <c r="C3" t="s">
        <v>522</v>
      </c>
      <c r="D3" t="s">
        <v>523</v>
      </c>
      <c r="E3" t="s">
        <v>524</v>
      </c>
      <c r="F3" t="s">
        <v>525</v>
      </c>
      <c r="G3" t="s">
        <v>526</v>
      </c>
      <c r="H3" t="s">
        <v>527</v>
      </c>
      <c r="I3" t="s">
        <v>528</v>
      </c>
      <c r="J3" t="s">
        <v>536</v>
      </c>
      <c r="K3" s="189" t="s">
        <v>599</v>
      </c>
      <c r="L3" s="105" t="s">
        <v>642</v>
      </c>
      <c r="M3" t="s">
        <v>719</v>
      </c>
      <c r="N3" t="s">
        <v>925</v>
      </c>
    </row>
    <row r="4" spans="1:14" x14ac:dyDescent="0.2">
      <c r="A4">
        <v>3</v>
      </c>
      <c r="B4" t="s">
        <v>57</v>
      </c>
      <c r="C4" t="s">
        <v>59</v>
      </c>
      <c r="D4" t="s">
        <v>129</v>
      </c>
      <c r="E4" t="s">
        <v>176</v>
      </c>
      <c r="F4" t="s">
        <v>255</v>
      </c>
      <c r="G4" t="s">
        <v>315</v>
      </c>
      <c r="H4" t="s">
        <v>367</v>
      </c>
      <c r="I4" t="s">
        <v>426</v>
      </c>
      <c r="J4" t="s">
        <v>537</v>
      </c>
      <c r="K4" s="189" t="s">
        <v>600</v>
      </c>
      <c r="L4" s="105" t="s">
        <v>643</v>
      </c>
      <c r="M4" t="s">
        <v>720</v>
      </c>
      <c r="N4" t="s">
        <v>977</v>
      </c>
    </row>
    <row r="5" spans="1:14" s="263" customFormat="1" x14ac:dyDescent="0.2">
      <c r="A5" s="263">
        <v>4</v>
      </c>
      <c r="B5" s="263" t="s">
        <v>28</v>
      </c>
      <c r="C5" s="263" t="s">
        <v>61</v>
      </c>
      <c r="D5" s="263" t="s">
        <v>132</v>
      </c>
      <c r="E5" s="263" t="s">
        <v>923</v>
      </c>
      <c r="F5" s="263" t="s">
        <v>256</v>
      </c>
      <c r="G5" s="263" t="s">
        <v>316</v>
      </c>
      <c r="H5" s="263" t="s">
        <v>368</v>
      </c>
      <c r="I5" s="263" t="s">
        <v>427</v>
      </c>
      <c r="J5" s="263" t="s">
        <v>538</v>
      </c>
      <c r="K5" s="264" t="s">
        <v>601</v>
      </c>
      <c r="L5" s="263" t="s">
        <v>644</v>
      </c>
      <c r="M5" s="263" t="s">
        <v>721</v>
      </c>
      <c r="N5" s="263" t="s">
        <v>926</v>
      </c>
    </row>
    <row r="6" spans="1:14" s="263" customFormat="1" x14ac:dyDescent="0.2">
      <c r="A6" s="263">
        <v>5</v>
      </c>
      <c r="B6" s="263" t="s">
        <v>29</v>
      </c>
      <c r="C6" s="263" t="s">
        <v>62</v>
      </c>
      <c r="D6" s="263" t="s">
        <v>133</v>
      </c>
      <c r="E6" s="263" t="s">
        <v>177</v>
      </c>
      <c r="F6" s="263" t="s">
        <v>257</v>
      </c>
      <c r="G6" s="263" t="s">
        <v>317</v>
      </c>
      <c r="H6" s="263" t="s">
        <v>369</v>
      </c>
      <c r="I6" s="263" t="s">
        <v>428</v>
      </c>
      <c r="J6" s="263" t="s">
        <v>539</v>
      </c>
      <c r="K6" s="264" t="s">
        <v>703</v>
      </c>
      <c r="L6" s="263" t="s">
        <v>645</v>
      </c>
      <c r="M6" s="263" t="s">
        <v>722</v>
      </c>
      <c r="N6" s="263" t="s">
        <v>927</v>
      </c>
    </row>
    <row r="7" spans="1:14" x14ac:dyDescent="0.2">
      <c r="A7">
        <v>6</v>
      </c>
      <c r="B7" t="s">
        <v>30</v>
      </c>
      <c r="C7" t="s">
        <v>63</v>
      </c>
      <c r="D7" t="s">
        <v>134</v>
      </c>
      <c r="E7" t="s">
        <v>238</v>
      </c>
      <c r="F7" t="s">
        <v>258</v>
      </c>
      <c r="G7" t="s">
        <v>318</v>
      </c>
      <c r="H7" t="s">
        <v>370</v>
      </c>
      <c r="I7" t="s">
        <v>429</v>
      </c>
      <c r="J7" t="s">
        <v>540</v>
      </c>
      <c r="K7" s="191" t="s">
        <v>602</v>
      </c>
      <c r="L7" s="105" t="s">
        <v>646</v>
      </c>
      <c r="M7" t="s">
        <v>723</v>
      </c>
      <c r="N7" t="s">
        <v>978</v>
      </c>
    </row>
    <row r="8" spans="1:14" s="263" customFormat="1" x14ac:dyDescent="0.2">
      <c r="A8" s="263">
        <v>7</v>
      </c>
      <c r="B8" s="263" t="s">
        <v>51</v>
      </c>
      <c r="C8" s="263" t="s">
        <v>64</v>
      </c>
      <c r="D8" s="263" t="s">
        <v>224</v>
      </c>
      <c r="E8" s="263" t="s">
        <v>178</v>
      </c>
      <c r="F8" s="263" t="s">
        <v>259</v>
      </c>
      <c r="G8" s="263" t="s">
        <v>319</v>
      </c>
      <c r="H8" s="263" t="s">
        <v>371</v>
      </c>
      <c r="I8" s="263" t="s">
        <v>465</v>
      </c>
      <c r="J8" s="263" t="s">
        <v>541</v>
      </c>
      <c r="K8" s="264" t="s">
        <v>704</v>
      </c>
      <c r="L8" s="263" t="s">
        <v>647</v>
      </c>
      <c r="M8" s="263" t="s">
        <v>773</v>
      </c>
      <c r="N8" s="263" t="s">
        <v>928</v>
      </c>
    </row>
    <row r="9" spans="1:14" s="263" customFormat="1" x14ac:dyDescent="0.2">
      <c r="A9" s="263">
        <v>8</v>
      </c>
      <c r="B9" s="263" t="s">
        <v>31</v>
      </c>
      <c r="C9" s="263" t="s">
        <v>65</v>
      </c>
      <c r="D9" s="263" t="s">
        <v>225</v>
      </c>
      <c r="E9" s="263" t="s">
        <v>179</v>
      </c>
      <c r="F9" s="263" t="s">
        <v>260</v>
      </c>
      <c r="G9" s="263" t="s">
        <v>320</v>
      </c>
      <c r="H9" s="263" t="s">
        <v>372</v>
      </c>
      <c r="I9" s="263" t="s">
        <v>466</v>
      </c>
      <c r="J9" s="263" t="s">
        <v>542</v>
      </c>
      <c r="K9" s="264" t="s">
        <v>705</v>
      </c>
      <c r="L9" s="263" t="s">
        <v>648</v>
      </c>
      <c r="M9" s="263" t="s">
        <v>774</v>
      </c>
      <c r="N9" s="263" t="s">
        <v>929</v>
      </c>
    </row>
    <row r="10" spans="1:14" s="105" customFormat="1" x14ac:dyDescent="0.2">
      <c r="A10" s="105">
        <v>9</v>
      </c>
      <c r="B10" s="105" t="s">
        <v>68</v>
      </c>
      <c r="C10" s="105" t="s">
        <v>69</v>
      </c>
      <c r="D10" s="105" t="s">
        <v>226</v>
      </c>
      <c r="E10" s="105" t="s">
        <v>180</v>
      </c>
      <c r="F10" s="105" t="s">
        <v>261</v>
      </c>
      <c r="G10" s="105" t="s">
        <v>321</v>
      </c>
      <c r="H10" s="105" t="s">
        <v>373</v>
      </c>
      <c r="I10" s="105" t="s">
        <v>430</v>
      </c>
      <c r="J10" s="105" t="s">
        <v>543</v>
      </c>
      <c r="K10" s="191" t="s">
        <v>706</v>
      </c>
      <c r="L10" s="105" t="s">
        <v>662</v>
      </c>
      <c r="M10" s="105" t="s">
        <v>775</v>
      </c>
      <c r="N10" s="105" t="s">
        <v>930</v>
      </c>
    </row>
    <row r="11" spans="1:14" x14ac:dyDescent="0.2">
      <c r="A11">
        <v>10</v>
      </c>
      <c r="B11" t="s">
        <v>32</v>
      </c>
      <c r="C11" t="s">
        <v>3</v>
      </c>
      <c r="D11" t="s">
        <v>135</v>
      </c>
      <c r="E11" t="s">
        <v>181</v>
      </c>
      <c r="F11" t="s">
        <v>262</v>
      </c>
      <c r="G11" t="s">
        <v>322</v>
      </c>
      <c r="H11" t="s">
        <v>374</v>
      </c>
      <c r="I11" t="s">
        <v>431</v>
      </c>
      <c r="J11" t="s">
        <v>544</v>
      </c>
      <c r="K11" s="191" t="s">
        <v>603</v>
      </c>
      <c r="L11" s="105" t="s">
        <v>649</v>
      </c>
      <c r="M11" t="s">
        <v>724</v>
      </c>
      <c r="N11" t="s">
        <v>931</v>
      </c>
    </row>
    <row r="12" spans="1:14" x14ac:dyDescent="0.2">
      <c r="A12">
        <v>11</v>
      </c>
      <c r="B12" s="105" t="s">
        <v>70</v>
      </c>
      <c r="C12" t="s">
        <v>66</v>
      </c>
      <c r="D12" t="s">
        <v>136</v>
      </c>
      <c r="E12" t="s">
        <v>921</v>
      </c>
      <c r="F12" t="s">
        <v>263</v>
      </c>
      <c r="G12" t="s">
        <v>323</v>
      </c>
      <c r="H12" t="s">
        <v>375</v>
      </c>
      <c r="I12" t="s">
        <v>432</v>
      </c>
      <c r="J12" t="s">
        <v>545</v>
      </c>
      <c r="K12" s="191" t="s">
        <v>604</v>
      </c>
      <c r="L12" s="105" t="s">
        <v>650</v>
      </c>
      <c r="M12" t="s">
        <v>725</v>
      </c>
      <c r="N12" t="s">
        <v>932</v>
      </c>
    </row>
    <row r="13" spans="1:14" x14ac:dyDescent="0.2">
      <c r="A13">
        <v>12</v>
      </c>
      <c r="B13" s="105" t="s">
        <v>71</v>
      </c>
      <c r="C13" t="s">
        <v>4</v>
      </c>
      <c r="D13" t="s">
        <v>137</v>
      </c>
      <c r="E13" t="s">
        <v>182</v>
      </c>
      <c r="F13" t="s">
        <v>264</v>
      </c>
      <c r="G13" t="s">
        <v>324</v>
      </c>
      <c r="H13" t="s">
        <v>376</v>
      </c>
      <c r="I13" t="s">
        <v>433</v>
      </c>
      <c r="J13" t="s">
        <v>546</v>
      </c>
      <c r="K13" s="191" t="s">
        <v>605</v>
      </c>
      <c r="L13" s="105" t="s">
        <v>651</v>
      </c>
      <c r="M13" t="s">
        <v>726</v>
      </c>
      <c r="N13" t="s">
        <v>933</v>
      </c>
    </row>
    <row r="14" spans="1:14" x14ac:dyDescent="0.2">
      <c r="A14">
        <v>13</v>
      </c>
      <c r="B14" t="s">
        <v>33</v>
      </c>
      <c r="C14" t="s">
        <v>67</v>
      </c>
      <c r="D14" t="s">
        <v>138</v>
      </c>
      <c r="E14" t="s">
        <v>183</v>
      </c>
      <c r="F14" t="s">
        <v>265</v>
      </c>
      <c r="G14" t="s">
        <v>325</v>
      </c>
      <c r="H14" t="s">
        <v>377</v>
      </c>
      <c r="I14" t="s">
        <v>434</v>
      </c>
      <c r="J14" t="s">
        <v>547</v>
      </c>
      <c r="K14" s="191" t="s">
        <v>606</v>
      </c>
      <c r="L14" s="105" t="s">
        <v>652</v>
      </c>
      <c r="M14" t="s">
        <v>727</v>
      </c>
      <c r="N14" t="s">
        <v>934</v>
      </c>
    </row>
    <row r="15" spans="1:14" x14ac:dyDescent="0.2">
      <c r="A15">
        <v>14</v>
      </c>
      <c r="B15" s="105" t="s">
        <v>34</v>
      </c>
      <c r="C15" t="s">
        <v>72</v>
      </c>
      <c r="D15" t="s">
        <v>139</v>
      </c>
      <c r="E15" t="s">
        <v>184</v>
      </c>
      <c r="F15" t="s">
        <v>266</v>
      </c>
      <c r="G15" t="s">
        <v>326</v>
      </c>
      <c r="H15" t="s">
        <v>378</v>
      </c>
      <c r="I15" t="s">
        <v>435</v>
      </c>
      <c r="J15" t="s">
        <v>548</v>
      </c>
      <c r="K15" s="191" t="s">
        <v>607</v>
      </c>
      <c r="L15" t="s">
        <v>640</v>
      </c>
      <c r="M15" t="s">
        <v>728</v>
      </c>
      <c r="N15" t="s">
        <v>979</v>
      </c>
    </row>
    <row r="16" spans="1:14" x14ac:dyDescent="0.2">
      <c r="A16">
        <v>15</v>
      </c>
      <c r="B16" s="105" t="s">
        <v>77</v>
      </c>
      <c r="C16" t="s">
        <v>73</v>
      </c>
      <c r="D16" t="s">
        <v>140</v>
      </c>
      <c r="E16" t="s">
        <v>185</v>
      </c>
      <c r="F16" t="s">
        <v>267</v>
      </c>
      <c r="G16" t="s">
        <v>327</v>
      </c>
      <c r="H16" t="s">
        <v>379</v>
      </c>
      <c r="I16" t="s">
        <v>436</v>
      </c>
      <c r="J16" t="s">
        <v>549</v>
      </c>
      <c r="K16" s="191" t="s">
        <v>608</v>
      </c>
      <c r="L16" s="105" t="s">
        <v>653</v>
      </c>
      <c r="M16" t="s">
        <v>729</v>
      </c>
      <c r="N16" t="s">
        <v>935</v>
      </c>
    </row>
    <row r="17" spans="1:14" x14ac:dyDescent="0.2">
      <c r="A17">
        <v>16</v>
      </c>
      <c r="B17" s="105" t="s">
        <v>78</v>
      </c>
      <c r="C17" t="s">
        <v>74</v>
      </c>
      <c r="D17" t="s">
        <v>227</v>
      </c>
      <c r="E17" t="s">
        <v>186</v>
      </c>
      <c r="F17" t="s">
        <v>268</v>
      </c>
      <c r="G17" t="s">
        <v>328</v>
      </c>
      <c r="H17" t="s">
        <v>380</v>
      </c>
      <c r="I17" t="s">
        <v>437</v>
      </c>
      <c r="J17" t="s">
        <v>550</v>
      </c>
      <c r="K17" s="191" t="s">
        <v>609</v>
      </c>
      <c r="L17" s="105" t="s">
        <v>654</v>
      </c>
      <c r="M17" t="s">
        <v>730</v>
      </c>
      <c r="N17" t="s">
        <v>936</v>
      </c>
    </row>
    <row r="18" spans="1:14" x14ac:dyDescent="0.2">
      <c r="A18">
        <v>17</v>
      </c>
      <c r="B18" s="105" t="s">
        <v>79</v>
      </c>
      <c r="C18" t="s">
        <v>75</v>
      </c>
      <c r="D18" t="s">
        <v>228</v>
      </c>
      <c r="E18" t="s">
        <v>187</v>
      </c>
      <c r="F18" t="s">
        <v>269</v>
      </c>
      <c r="G18" t="s">
        <v>329</v>
      </c>
      <c r="H18" t="s">
        <v>381</v>
      </c>
      <c r="I18" t="s">
        <v>438</v>
      </c>
      <c r="J18" t="s">
        <v>551</v>
      </c>
      <c r="K18" s="191" t="s">
        <v>610</v>
      </c>
      <c r="L18" s="105" t="s">
        <v>655</v>
      </c>
      <c r="M18" t="s">
        <v>731</v>
      </c>
      <c r="N18" t="s">
        <v>937</v>
      </c>
    </row>
    <row r="19" spans="1:14" x14ac:dyDescent="0.2">
      <c r="A19">
        <v>18</v>
      </c>
      <c r="B19" s="105" t="s">
        <v>80</v>
      </c>
      <c r="C19" t="s">
        <v>76</v>
      </c>
      <c r="D19" t="s">
        <v>229</v>
      </c>
      <c r="E19" t="s">
        <v>188</v>
      </c>
      <c r="F19" t="s">
        <v>270</v>
      </c>
      <c r="G19" t="s">
        <v>330</v>
      </c>
      <c r="H19" t="s">
        <v>382</v>
      </c>
      <c r="I19" t="s">
        <v>439</v>
      </c>
      <c r="J19" t="s">
        <v>552</v>
      </c>
      <c r="K19" s="191" t="s">
        <v>611</v>
      </c>
      <c r="L19" s="105" t="s">
        <v>656</v>
      </c>
      <c r="M19" t="s">
        <v>732</v>
      </c>
      <c r="N19" t="s">
        <v>938</v>
      </c>
    </row>
    <row r="20" spans="1:14" x14ac:dyDescent="0.2">
      <c r="A20">
        <v>19</v>
      </c>
      <c r="B20" s="105" t="s">
        <v>125</v>
      </c>
      <c r="C20" s="105" t="s">
        <v>123</v>
      </c>
      <c r="D20" t="s">
        <v>141</v>
      </c>
      <c r="E20" t="s">
        <v>920</v>
      </c>
      <c r="F20" t="s">
        <v>271</v>
      </c>
      <c r="G20" t="s">
        <v>331</v>
      </c>
      <c r="H20" t="s">
        <v>383</v>
      </c>
      <c r="I20" t="s">
        <v>440</v>
      </c>
      <c r="J20" t="s">
        <v>553</v>
      </c>
      <c r="K20" s="191" t="s">
        <v>612</v>
      </c>
      <c r="L20" s="105" t="s">
        <v>657</v>
      </c>
      <c r="M20" t="s">
        <v>771</v>
      </c>
      <c r="N20" t="s">
        <v>939</v>
      </c>
    </row>
    <row r="21" spans="1:14" x14ac:dyDescent="0.2">
      <c r="A21">
        <v>20</v>
      </c>
      <c r="B21" s="105" t="s">
        <v>126</v>
      </c>
      <c r="C21" s="105" t="s">
        <v>124</v>
      </c>
      <c r="D21" t="s">
        <v>142</v>
      </c>
      <c r="E21" t="s">
        <v>189</v>
      </c>
      <c r="F21" t="s">
        <v>272</v>
      </c>
      <c r="G21" t="s">
        <v>332</v>
      </c>
      <c r="H21" t="s">
        <v>384</v>
      </c>
      <c r="I21" t="s">
        <v>441</v>
      </c>
      <c r="J21" t="s">
        <v>554</v>
      </c>
      <c r="K21" s="191" t="s">
        <v>613</v>
      </c>
      <c r="L21" s="105" t="s">
        <v>658</v>
      </c>
      <c r="M21" t="s">
        <v>772</v>
      </c>
      <c r="N21" t="s">
        <v>980</v>
      </c>
    </row>
    <row r="22" spans="1:14" x14ac:dyDescent="0.2">
      <c r="A22">
        <v>21</v>
      </c>
      <c r="B22" s="105" t="s">
        <v>85</v>
      </c>
      <c r="C22" t="s">
        <v>82</v>
      </c>
      <c r="D22" t="s">
        <v>230</v>
      </c>
      <c r="E22" t="s">
        <v>190</v>
      </c>
      <c r="F22" t="s">
        <v>273</v>
      </c>
      <c r="G22" t="s">
        <v>333</v>
      </c>
      <c r="H22" t="s">
        <v>385</v>
      </c>
      <c r="I22" t="s">
        <v>482</v>
      </c>
      <c r="J22" t="s">
        <v>555</v>
      </c>
      <c r="K22" s="191" t="s">
        <v>707</v>
      </c>
      <c r="L22" s="105" t="s">
        <v>698</v>
      </c>
      <c r="M22" t="s">
        <v>776</v>
      </c>
      <c r="N22" t="s">
        <v>981</v>
      </c>
    </row>
    <row r="23" spans="1:14" x14ac:dyDescent="0.2">
      <c r="A23">
        <v>22</v>
      </c>
      <c r="B23" t="s">
        <v>35</v>
      </c>
      <c r="C23" t="s">
        <v>83</v>
      </c>
      <c r="D23" t="s">
        <v>130</v>
      </c>
      <c r="E23" t="s">
        <v>191</v>
      </c>
      <c r="F23" t="s">
        <v>274</v>
      </c>
      <c r="G23" t="s">
        <v>334</v>
      </c>
      <c r="H23" t="s">
        <v>386</v>
      </c>
      <c r="I23" t="s">
        <v>483</v>
      </c>
      <c r="J23" t="s">
        <v>556</v>
      </c>
      <c r="K23" s="191" t="s">
        <v>614</v>
      </c>
      <c r="L23" s="105" t="s">
        <v>659</v>
      </c>
      <c r="M23" t="s">
        <v>733</v>
      </c>
      <c r="N23" t="s">
        <v>982</v>
      </c>
    </row>
    <row r="24" spans="1:14" x14ac:dyDescent="0.2">
      <c r="A24">
        <v>23</v>
      </c>
      <c r="B24" t="s">
        <v>36</v>
      </c>
      <c r="C24" t="s">
        <v>84</v>
      </c>
      <c r="D24" t="s">
        <v>131</v>
      </c>
      <c r="E24" t="s">
        <v>192</v>
      </c>
      <c r="F24" t="s">
        <v>275</v>
      </c>
      <c r="G24" t="s">
        <v>335</v>
      </c>
      <c r="H24" t="s">
        <v>387</v>
      </c>
      <c r="I24" t="s">
        <v>442</v>
      </c>
      <c r="J24" t="s">
        <v>557</v>
      </c>
      <c r="K24" s="191" t="s">
        <v>615</v>
      </c>
      <c r="L24" s="105" t="s">
        <v>660</v>
      </c>
      <c r="M24" t="s">
        <v>734</v>
      </c>
      <c r="N24" t="s">
        <v>940</v>
      </c>
    </row>
    <row r="25" spans="1:14" x14ac:dyDescent="0.2">
      <c r="A25">
        <v>24</v>
      </c>
      <c r="B25" t="s">
        <v>37</v>
      </c>
      <c r="C25" t="s">
        <v>86</v>
      </c>
      <c r="D25" t="s">
        <v>143</v>
      </c>
      <c r="E25" t="s">
        <v>193</v>
      </c>
      <c r="F25" t="s">
        <v>276</v>
      </c>
      <c r="G25" t="s">
        <v>336</v>
      </c>
      <c r="H25" t="s">
        <v>388</v>
      </c>
      <c r="I25" t="s">
        <v>475</v>
      </c>
      <c r="J25" t="s">
        <v>558</v>
      </c>
      <c r="K25" s="191" t="s">
        <v>616</v>
      </c>
      <c r="L25" s="105" t="s">
        <v>661</v>
      </c>
      <c r="M25" t="s">
        <v>735</v>
      </c>
      <c r="N25" t="s">
        <v>983</v>
      </c>
    </row>
    <row r="26" spans="1:14" x14ac:dyDescent="0.2">
      <c r="A26">
        <v>25</v>
      </c>
      <c r="B26" s="105" t="s">
        <v>87</v>
      </c>
      <c r="C26" t="s">
        <v>2</v>
      </c>
      <c r="D26" t="s">
        <v>230</v>
      </c>
      <c r="E26" t="s">
        <v>180</v>
      </c>
      <c r="F26" t="s">
        <v>277</v>
      </c>
      <c r="G26" t="s">
        <v>321</v>
      </c>
      <c r="H26" t="s">
        <v>389</v>
      </c>
      <c r="I26" t="s">
        <v>443</v>
      </c>
      <c r="J26" t="s">
        <v>559</v>
      </c>
      <c r="K26" s="191" t="s">
        <v>708</v>
      </c>
      <c r="L26" s="105" t="s">
        <v>662</v>
      </c>
      <c r="M26" t="s">
        <v>736</v>
      </c>
      <c r="N26" t="s">
        <v>941</v>
      </c>
    </row>
    <row r="27" spans="1:14" x14ac:dyDescent="0.2">
      <c r="A27">
        <v>26</v>
      </c>
      <c r="B27" s="105" t="s">
        <v>89</v>
      </c>
      <c r="C27" s="105" t="s">
        <v>88</v>
      </c>
      <c r="D27" t="s">
        <v>144</v>
      </c>
      <c r="E27" t="s">
        <v>194</v>
      </c>
      <c r="F27" t="s">
        <v>278</v>
      </c>
      <c r="G27" t="s">
        <v>337</v>
      </c>
      <c r="H27" t="s">
        <v>390</v>
      </c>
      <c r="I27" t="s">
        <v>444</v>
      </c>
      <c r="J27" t="s">
        <v>591</v>
      </c>
      <c r="K27" s="191" t="s">
        <v>617</v>
      </c>
      <c r="L27" s="105" t="s">
        <v>663</v>
      </c>
      <c r="M27" t="s">
        <v>737</v>
      </c>
      <c r="N27" t="s">
        <v>984</v>
      </c>
    </row>
    <row r="28" spans="1:14" x14ac:dyDescent="0.2">
      <c r="A28">
        <v>27</v>
      </c>
      <c r="B28" t="s">
        <v>50</v>
      </c>
      <c r="C28" t="s">
        <v>90</v>
      </c>
      <c r="D28" t="s">
        <v>145</v>
      </c>
      <c r="E28" t="s">
        <v>195</v>
      </c>
      <c r="F28" t="s">
        <v>279</v>
      </c>
      <c r="G28" t="s">
        <v>338</v>
      </c>
      <c r="H28" t="s">
        <v>338</v>
      </c>
      <c r="I28" t="s">
        <v>445</v>
      </c>
      <c r="J28" t="s">
        <v>560</v>
      </c>
      <c r="K28" s="191" t="s">
        <v>618</v>
      </c>
      <c r="L28" s="105" t="s">
        <v>664</v>
      </c>
      <c r="M28" t="s">
        <v>738</v>
      </c>
      <c r="N28" t="s">
        <v>618</v>
      </c>
    </row>
    <row r="29" spans="1:14" x14ac:dyDescent="0.2">
      <c r="A29">
        <v>28</v>
      </c>
      <c r="B29" s="105" t="s">
        <v>92</v>
      </c>
      <c r="C29" s="105" t="s">
        <v>91</v>
      </c>
      <c r="D29" t="s">
        <v>146</v>
      </c>
      <c r="E29" t="s">
        <v>196</v>
      </c>
      <c r="F29" t="s">
        <v>280</v>
      </c>
      <c r="G29" t="s">
        <v>339</v>
      </c>
      <c r="H29" t="s">
        <v>391</v>
      </c>
      <c r="I29" t="s">
        <v>467</v>
      </c>
      <c r="J29" t="s">
        <v>561</v>
      </c>
      <c r="K29" s="191" t="s">
        <v>701</v>
      </c>
      <c r="L29" s="105" t="s">
        <v>665</v>
      </c>
      <c r="M29" t="s">
        <v>739</v>
      </c>
      <c r="N29" t="s">
        <v>942</v>
      </c>
    </row>
    <row r="30" spans="1:14" x14ac:dyDescent="0.2">
      <c r="A30">
        <v>29</v>
      </c>
      <c r="B30" t="s">
        <v>41</v>
      </c>
      <c r="C30" t="s">
        <v>93</v>
      </c>
      <c r="D30" t="s">
        <v>147</v>
      </c>
      <c r="E30" s="106" t="s">
        <v>201</v>
      </c>
      <c r="F30" t="s">
        <v>281</v>
      </c>
      <c r="G30" s="106" t="s">
        <v>340</v>
      </c>
      <c r="H30" t="s">
        <v>392</v>
      </c>
      <c r="I30" t="s">
        <v>147</v>
      </c>
      <c r="J30" t="s">
        <v>562</v>
      </c>
      <c r="K30" s="191" t="s">
        <v>709</v>
      </c>
      <c r="L30" s="105" t="s">
        <v>666</v>
      </c>
      <c r="M30" t="s">
        <v>340</v>
      </c>
      <c r="N30" t="s">
        <v>340</v>
      </c>
    </row>
    <row r="31" spans="1:14" x14ac:dyDescent="0.2">
      <c r="A31">
        <v>30</v>
      </c>
      <c r="B31" t="s">
        <v>42</v>
      </c>
      <c r="C31" t="s">
        <v>94</v>
      </c>
      <c r="D31" t="s">
        <v>148</v>
      </c>
      <c r="E31" s="105" t="s">
        <v>202</v>
      </c>
      <c r="F31" t="s">
        <v>282</v>
      </c>
      <c r="G31" s="105" t="s">
        <v>341</v>
      </c>
      <c r="H31" t="s">
        <v>393</v>
      </c>
      <c r="I31" t="s">
        <v>446</v>
      </c>
      <c r="J31" t="s">
        <v>563</v>
      </c>
      <c r="K31" s="191" t="s">
        <v>619</v>
      </c>
      <c r="L31" s="105" t="s">
        <v>667</v>
      </c>
      <c r="M31" t="s">
        <v>740</v>
      </c>
      <c r="N31" t="s">
        <v>943</v>
      </c>
    </row>
    <row r="32" spans="1:14" x14ac:dyDescent="0.2">
      <c r="A32">
        <v>31</v>
      </c>
      <c r="B32" t="s">
        <v>43</v>
      </c>
      <c r="C32" t="s">
        <v>95</v>
      </c>
      <c r="D32" t="s">
        <v>149</v>
      </c>
      <c r="E32" s="105" t="s">
        <v>918</v>
      </c>
      <c r="F32" t="s">
        <v>283</v>
      </c>
      <c r="G32" s="105" t="s">
        <v>342</v>
      </c>
      <c r="H32" t="s">
        <v>394</v>
      </c>
      <c r="I32" t="s">
        <v>447</v>
      </c>
      <c r="J32" t="s">
        <v>564</v>
      </c>
      <c r="K32" s="191" t="s">
        <v>620</v>
      </c>
      <c r="L32" s="105" t="s">
        <v>640</v>
      </c>
      <c r="M32" t="s">
        <v>728</v>
      </c>
      <c r="N32" t="s">
        <v>985</v>
      </c>
    </row>
    <row r="33" spans="1:14" x14ac:dyDescent="0.2">
      <c r="A33">
        <v>32</v>
      </c>
      <c r="B33" s="105" t="s">
        <v>98</v>
      </c>
      <c r="C33" s="105" t="s">
        <v>96</v>
      </c>
      <c r="D33" t="s">
        <v>130</v>
      </c>
      <c r="E33" t="s">
        <v>919</v>
      </c>
      <c r="F33" t="s">
        <v>284</v>
      </c>
      <c r="G33" t="s">
        <v>343</v>
      </c>
      <c r="H33" t="s">
        <v>395</v>
      </c>
      <c r="I33" t="s">
        <v>476</v>
      </c>
      <c r="J33" t="s">
        <v>565</v>
      </c>
      <c r="K33" s="191" t="s">
        <v>621</v>
      </c>
      <c r="L33" s="105" t="s">
        <v>668</v>
      </c>
      <c r="M33" t="s">
        <v>741</v>
      </c>
      <c r="N33" t="s">
        <v>986</v>
      </c>
    </row>
    <row r="34" spans="1:14" x14ac:dyDescent="0.2">
      <c r="A34">
        <v>33</v>
      </c>
      <c r="B34" s="105" t="s">
        <v>39</v>
      </c>
      <c r="C34" s="105" t="s">
        <v>100</v>
      </c>
      <c r="D34" t="s">
        <v>150</v>
      </c>
      <c r="E34" t="s">
        <v>197</v>
      </c>
      <c r="F34" t="s">
        <v>276</v>
      </c>
      <c r="G34" t="s">
        <v>344</v>
      </c>
      <c r="H34" t="s">
        <v>396</v>
      </c>
      <c r="I34" t="s">
        <v>448</v>
      </c>
      <c r="J34" t="s">
        <v>566</v>
      </c>
      <c r="K34" s="191" t="s">
        <v>605</v>
      </c>
      <c r="L34" s="105" t="s">
        <v>669</v>
      </c>
      <c r="M34" t="s">
        <v>742</v>
      </c>
      <c r="N34" t="s">
        <v>944</v>
      </c>
    </row>
    <row r="35" spans="1:14" x14ac:dyDescent="0.2">
      <c r="A35">
        <v>34</v>
      </c>
      <c r="B35" s="105" t="s">
        <v>40</v>
      </c>
      <c r="C35" s="105" t="s">
        <v>101</v>
      </c>
      <c r="D35" t="s">
        <v>152</v>
      </c>
      <c r="E35" t="s">
        <v>198</v>
      </c>
      <c r="F35" t="s">
        <v>198</v>
      </c>
      <c r="G35" t="s">
        <v>345</v>
      </c>
      <c r="H35" t="s">
        <v>397</v>
      </c>
      <c r="I35" t="s">
        <v>449</v>
      </c>
      <c r="J35" t="s">
        <v>567</v>
      </c>
      <c r="K35" s="191" t="s">
        <v>622</v>
      </c>
      <c r="L35" s="105" t="s">
        <v>670</v>
      </c>
      <c r="M35" t="s">
        <v>743</v>
      </c>
      <c r="N35" t="s">
        <v>945</v>
      </c>
    </row>
    <row r="36" spans="1:14" x14ac:dyDescent="0.2">
      <c r="A36">
        <v>35</v>
      </c>
      <c r="B36" t="s">
        <v>99</v>
      </c>
      <c r="C36" s="105" t="s">
        <v>102</v>
      </c>
      <c r="D36" t="s">
        <v>151</v>
      </c>
      <c r="E36" t="s">
        <v>199</v>
      </c>
      <c r="F36" t="s">
        <v>285</v>
      </c>
      <c r="G36" t="s">
        <v>346</v>
      </c>
      <c r="H36" t="s">
        <v>398</v>
      </c>
      <c r="I36" t="s">
        <v>450</v>
      </c>
      <c r="J36" t="s">
        <v>568</v>
      </c>
      <c r="K36" s="191" t="s">
        <v>623</v>
      </c>
      <c r="L36" s="105" t="s">
        <v>699</v>
      </c>
      <c r="M36" t="s">
        <v>744</v>
      </c>
      <c r="N36" t="s">
        <v>946</v>
      </c>
    </row>
    <row r="37" spans="1:14" x14ac:dyDescent="0.2">
      <c r="A37">
        <v>36</v>
      </c>
      <c r="B37" s="105" t="s">
        <v>106</v>
      </c>
      <c r="C37" t="s">
        <v>5</v>
      </c>
      <c r="D37" t="s">
        <v>231</v>
      </c>
      <c r="E37" s="105" t="s">
        <v>916</v>
      </c>
      <c r="F37" t="s">
        <v>286</v>
      </c>
      <c r="G37" s="105" t="s">
        <v>347</v>
      </c>
      <c r="H37" t="s">
        <v>399</v>
      </c>
      <c r="I37" t="s">
        <v>451</v>
      </c>
      <c r="J37" t="s">
        <v>569</v>
      </c>
      <c r="K37" s="191" t="s">
        <v>710</v>
      </c>
      <c r="L37" s="105" t="s">
        <v>671</v>
      </c>
      <c r="M37" t="s">
        <v>745</v>
      </c>
      <c r="N37" t="s">
        <v>947</v>
      </c>
    </row>
    <row r="38" spans="1:14" s="142" customFormat="1" x14ac:dyDescent="0.2">
      <c r="A38" s="142">
        <v>37</v>
      </c>
      <c r="B38" s="143" t="s">
        <v>307</v>
      </c>
      <c r="C38" s="142" t="s">
        <v>308</v>
      </c>
      <c r="D38" s="142" t="s">
        <v>232</v>
      </c>
      <c r="E38" s="143" t="s">
        <v>488</v>
      </c>
      <c r="F38" s="142" t="s">
        <v>485</v>
      </c>
      <c r="G38" s="143" t="s">
        <v>348</v>
      </c>
      <c r="H38" s="142" t="s">
        <v>494</v>
      </c>
      <c r="I38" s="142" t="s">
        <v>477</v>
      </c>
      <c r="J38" s="142" t="s">
        <v>570</v>
      </c>
      <c r="K38" s="192" t="s">
        <v>624</v>
      </c>
      <c r="L38" s="193" t="s">
        <v>672</v>
      </c>
      <c r="M38" s="142" t="s">
        <v>746</v>
      </c>
      <c r="N38" s="142" t="s">
        <v>987</v>
      </c>
    </row>
    <row r="39" spans="1:14" x14ac:dyDescent="0.2">
      <c r="A39">
        <v>38</v>
      </c>
      <c r="B39" t="s">
        <v>44</v>
      </c>
      <c r="C39" t="s">
        <v>6</v>
      </c>
      <c r="D39" t="s">
        <v>233</v>
      </c>
      <c r="E39" s="105" t="s">
        <v>917</v>
      </c>
      <c r="F39" t="s">
        <v>287</v>
      </c>
      <c r="G39" s="105" t="s">
        <v>287</v>
      </c>
      <c r="H39" t="s">
        <v>400</v>
      </c>
      <c r="I39" t="s">
        <v>468</v>
      </c>
      <c r="J39" t="s">
        <v>571</v>
      </c>
      <c r="K39" s="192" t="s">
        <v>625</v>
      </c>
      <c r="L39" s="193" t="s">
        <v>673</v>
      </c>
      <c r="M39" t="s">
        <v>747</v>
      </c>
      <c r="N39" t="s">
        <v>988</v>
      </c>
    </row>
    <row r="40" spans="1:14" x14ac:dyDescent="0.2">
      <c r="A40">
        <v>39</v>
      </c>
      <c r="B40" s="105" t="s">
        <v>108</v>
      </c>
      <c r="C40" t="s">
        <v>103</v>
      </c>
      <c r="D40" t="s">
        <v>153</v>
      </c>
      <c r="E40" s="105" t="s">
        <v>203</v>
      </c>
      <c r="F40" t="s">
        <v>288</v>
      </c>
      <c r="G40" s="105" t="s">
        <v>349</v>
      </c>
      <c r="H40" t="s">
        <v>495</v>
      </c>
      <c r="I40" t="s">
        <v>484</v>
      </c>
      <c r="J40" s="105" t="s">
        <v>595</v>
      </c>
      <c r="K40" s="191" t="s">
        <v>711</v>
      </c>
      <c r="L40" s="193" t="s">
        <v>674</v>
      </c>
      <c r="M40" t="s">
        <v>748</v>
      </c>
      <c r="N40" t="s">
        <v>989</v>
      </c>
    </row>
    <row r="41" spans="1:14" x14ac:dyDescent="0.2">
      <c r="A41">
        <v>40</v>
      </c>
      <c r="B41" t="s">
        <v>45</v>
      </c>
      <c r="C41" t="s">
        <v>104</v>
      </c>
      <c r="D41" t="s">
        <v>154</v>
      </c>
      <c r="E41" s="105" t="s">
        <v>204</v>
      </c>
      <c r="F41" t="s">
        <v>289</v>
      </c>
      <c r="G41" s="105" t="s">
        <v>350</v>
      </c>
      <c r="H41" t="s">
        <v>401</v>
      </c>
      <c r="I41" t="s">
        <v>452</v>
      </c>
      <c r="J41" t="s">
        <v>572</v>
      </c>
      <c r="K41" s="192" t="s">
        <v>603</v>
      </c>
      <c r="L41" s="193" t="s">
        <v>649</v>
      </c>
      <c r="M41" t="s">
        <v>749</v>
      </c>
      <c r="N41" t="s">
        <v>931</v>
      </c>
    </row>
    <row r="42" spans="1:14" x14ac:dyDescent="0.2">
      <c r="A42">
        <v>41</v>
      </c>
      <c r="B42" s="105" t="s">
        <v>107</v>
      </c>
      <c r="C42" t="s">
        <v>105</v>
      </c>
      <c r="D42" t="s">
        <v>155</v>
      </c>
      <c r="E42" s="105" t="s">
        <v>205</v>
      </c>
      <c r="F42" t="s">
        <v>290</v>
      </c>
      <c r="G42" s="105" t="s">
        <v>351</v>
      </c>
      <c r="H42" t="s">
        <v>402</v>
      </c>
      <c r="I42" t="s">
        <v>453</v>
      </c>
      <c r="J42" t="s">
        <v>573</v>
      </c>
      <c r="K42" s="191" t="s">
        <v>626</v>
      </c>
      <c r="L42" s="193" t="s">
        <v>675</v>
      </c>
      <c r="M42" t="s">
        <v>750</v>
      </c>
      <c r="N42" t="s">
        <v>948</v>
      </c>
    </row>
    <row r="43" spans="1:14" x14ac:dyDescent="0.2">
      <c r="A43">
        <v>42</v>
      </c>
      <c r="B43" t="s">
        <v>46</v>
      </c>
      <c r="C43" t="s">
        <v>109</v>
      </c>
      <c r="D43" t="s">
        <v>156</v>
      </c>
      <c r="E43" s="105" t="s">
        <v>206</v>
      </c>
      <c r="F43" t="s">
        <v>291</v>
      </c>
      <c r="G43" s="105" t="s">
        <v>352</v>
      </c>
      <c r="H43" t="s">
        <v>403</v>
      </c>
      <c r="I43" t="s">
        <v>469</v>
      </c>
      <c r="J43" t="s">
        <v>574</v>
      </c>
      <c r="K43" s="191" t="s">
        <v>627</v>
      </c>
      <c r="L43" s="193" t="s">
        <v>676</v>
      </c>
      <c r="M43" t="s">
        <v>751</v>
      </c>
      <c r="N43" t="s">
        <v>990</v>
      </c>
    </row>
    <row r="44" spans="1:14" x14ac:dyDescent="0.2">
      <c r="A44">
        <v>43</v>
      </c>
      <c r="B44" t="s">
        <v>47</v>
      </c>
      <c r="C44" t="s">
        <v>110</v>
      </c>
      <c r="D44" t="s">
        <v>157</v>
      </c>
      <c r="E44" s="105" t="s">
        <v>915</v>
      </c>
      <c r="F44" t="s">
        <v>292</v>
      </c>
      <c r="G44" s="105" t="s">
        <v>353</v>
      </c>
      <c r="H44" t="s">
        <v>404</v>
      </c>
      <c r="I44" t="s">
        <v>454</v>
      </c>
      <c r="J44" t="s">
        <v>575</v>
      </c>
      <c r="K44" s="191" t="s">
        <v>628</v>
      </c>
      <c r="L44" s="193" t="s">
        <v>677</v>
      </c>
      <c r="M44" t="s">
        <v>752</v>
      </c>
      <c r="N44" t="s">
        <v>991</v>
      </c>
    </row>
    <row r="45" spans="1:14" x14ac:dyDescent="0.2">
      <c r="A45">
        <v>44</v>
      </c>
      <c r="B45" s="105" t="s">
        <v>113</v>
      </c>
      <c r="C45" t="s">
        <v>111</v>
      </c>
      <c r="D45" t="s">
        <v>234</v>
      </c>
      <c r="E45" s="105" t="s">
        <v>207</v>
      </c>
      <c r="F45" t="s">
        <v>293</v>
      </c>
      <c r="G45" s="105" t="s">
        <v>354</v>
      </c>
      <c r="H45" t="s">
        <v>405</v>
      </c>
      <c r="I45" t="s">
        <v>455</v>
      </c>
      <c r="J45" t="s">
        <v>576</v>
      </c>
      <c r="K45" s="191" t="s">
        <v>629</v>
      </c>
      <c r="L45" s="193" t="s">
        <v>678</v>
      </c>
      <c r="M45" t="s">
        <v>753</v>
      </c>
      <c r="N45" t="s">
        <v>949</v>
      </c>
    </row>
    <row r="46" spans="1:14" x14ac:dyDescent="0.2">
      <c r="A46">
        <v>45</v>
      </c>
      <c r="B46" s="105" t="s">
        <v>114</v>
      </c>
      <c r="C46" t="s">
        <v>112</v>
      </c>
      <c r="D46" t="s">
        <v>235</v>
      </c>
      <c r="E46" s="105" t="s">
        <v>208</v>
      </c>
      <c r="F46" t="s">
        <v>294</v>
      </c>
      <c r="G46" s="105" t="s">
        <v>355</v>
      </c>
      <c r="H46" t="s">
        <v>491</v>
      </c>
      <c r="I46" t="s">
        <v>478</v>
      </c>
      <c r="J46" t="s">
        <v>577</v>
      </c>
      <c r="K46" s="191" t="s">
        <v>630</v>
      </c>
      <c r="L46" s="193" t="s">
        <v>679</v>
      </c>
      <c r="M46" t="s">
        <v>754</v>
      </c>
      <c r="N46" t="s">
        <v>950</v>
      </c>
    </row>
    <row r="47" spans="1:14" s="142" customFormat="1" x14ac:dyDescent="0.2">
      <c r="A47" s="142">
        <v>46</v>
      </c>
      <c r="B47" s="143" t="s">
        <v>309</v>
      </c>
      <c r="C47" s="142" t="s">
        <v>310</v>
      </c>
      <c r="D47" s="142" t="s">
        <v>311</v>
      </c>
      <c r="E47" s="144" t="s">
        <v>312</v>
      </c>
      <c r="F47" s="142" t="s">
        <v>295</v>
      </c>
      <c r="G47" s="144" t="s">
        <v>413</v>
      </c>
      <c r="H47" s="142" t="s">
        <v>414</v>
      </c>
      <c r="I47" s="142" t="s">
        <v>311</v>
      </c>
      <c r="J47" s="142" t="s">
        <v>578</v>
      </c>
      <c r="K47" s="192" t="s">
        <v>631</v>
      </c>
      <c r="L47" s="193" t="s">
        <v>680</v>
      </c>
      <c r="M47" s="142" t="s">
        <v>755</v>
      </c>
      <c r="N47" s="142" t="s">
        <v>951</v>
      </c>
    </row>
    <row r="48" spans="1:14" x14ac:dyDescent="0.2">
      <c r="A48">
        <v>47</v>
      </c>
      <c r="B48" t="s">
        <v>48</v>
      </c>
      <c r="C48" t="s">
        <v>115</v>
      </c>
      <c r="D48" t="s">
        <v>236</v>
      </c>
      <c r="E48" s="105" t="s">
        <v>913</v>
      </c>
      <c r="F48" t="s">
        <v>296</v>
      </c>
      <c r="G48" s="105" t="s">
        <v>356</v>
      </c>
      <c r="H48" t="s">
        <v>406</v>
      </c>
      <c r="I48" t="s">
        <v>456</v>
      </c>
      <c r="J48" t="s">
        <v>579</v>
      </c>
      <c r="K48" s="191" t="s">
        <v>712</v>
      </c>
      <c r="L48" s="193" t="s">
        <v>681</v>
      </c>
      <c r="M48" t="s">
        <v>756</v>
      </c>
      <c r="N48" t="s">
        <v>992</v>
      </c>
    </row>
    <row r="49" spans="1:14" x14ac:dyDescent="0.2">
      <c r="A49">
        <v>48</v>
      </c>
      <c r="B49" s="105" t="s">
        <v>49</v>
      </c>
      <c r="C49" t="s">
        <v>116</v>
      </c>
      <c r="D49" t="s">
        <v>160</v>
      </c>
      <c r="E49" s="105" t="s">
        <v>486</v>
      </c>
      <c r="F49" t="s">
        <v>297</v>
      </c>
      <c r="G49" s="105" t="s">
        <v>357</v>
      </c>
      <c r="H49" t="s">
        <v>407</v>
      </c>
      <c r="I49" t="s">
        <v>481</v>
      </c>
      <c r="J49" s="105" t="s">
        <v>594</v>
      </c>
      <c r="K49" s="191" t="s">
        <v>716</v>
      </c>
      <c r="L49" s="193" t="s">
        <v>682</v>
      </c>
      <c r="M49" t="s">
        <v>757</v>
      </c>
      <c r="N49" t="s">
        <v>993</v>
      </c>
    </row>
    <row r="50" spans="1:14" x14ac:dyDescent="0.2">
      <c r="A50">
        <v>49</v>
      </c>
      <c r="B50" t="s">
        <v>48</v>
      </c>
      <c r="C50" t="s">
        <v>115</v>
      </c>
      <c r="D50" t="s">
        <v>236</v>
      </c>
      <c r="E50" t="s">
        <v>487</v>
      </c>
      <c r="F50" t="s">
        <v>296</v>
      </c>
      <c r="G50" t="s">
        <v>356</v>
      </c>
      <c r="H50" t="s">
        <v>406</v>
      </c>
      <c r="I50" t="s">
        <v>456</v>
      </c>
      <c r="J50" t="s">
        <v>579</v>
      </c>
      <c r="K50" s="191" t="s">
        <v>712</v>
      </c>
      <c r="L50" s="193" t="s">
        <v>683</v>
      </c>
      <c r="M50" t="s">
        <v>758</v>
      </c>
      <c r="N50" t="s">
        <v>992</v>
      </c>
    </row>
    <row r="51" spans="1:14" x14ac:dyDescent="0.2">
      <c r="A51">
        <v>50</v>
      </c>
      <c r="B51" t="s">
        <v>117</v>
      </c>
      <c r="C51" s="105" t="s">
        <v>118</v>
      </c>
      <c r="D51" t="s">
        <v>237</v>
      </c>
      <c r="E51" s="105" t="s">
        <v>914</v>
      </c>
      <c r="F51" t="s">
        <v>298</v>
      </c>
      <c r="G51" s="105" t="s">
        <v>358</v>
      </c>
      <c r="H51" t="s">
        <v>408</v>
      </c>
      <c r="I51" t="s">
        <v>457</v>
      </c>
      <c r="J51" s="105" t="s">
        <v>593</v>
      </c>
      <c r="K51" s="191" t="s">
        <v>632</v>
      </c>
      <c r="L51" s="193" t="s">
        <v>684</v>
      </c>
      <c r="M51" t="s">
        <v>759</v>
      </c>
      <c r="N51" t="s">
        <v>952</v>
      </c>
    </row>
    <row r="52" spans="1:14" x14ac:dyDescent="0.2">
      <c r="A52">
        <v>51</v>
      </c>
      <c r="B52" s="105" t="s">
        <v>119</v>
      </c>
      <c r="C52" s="105" t="s">
        <v>122</v>
      </c>
      <c r="D52" s="105" t="s">
        <v>158</v>
      </c>
      <c r="E52" s="105" t="s">
        <v>209</v>
      </c>
      <c r="F52" t="s">
        <v>420</v>
      </c>
      <c r="G52" s="105" t="s">
        <v>422</v>
      </c>
      <c r="H52" t="s">
        <v>409</v>
      </c>
      <c r="I52" t="s">
        <v>458</v>
      </c>
      <c r="J52" t="s">
        <v>580</v>
      </c>
      <c r="K52" s="191" t="s">
        <v>633</v>
      </c>
      <c r="L52" s="193" t="s">
        <v>685</v>
      </c>
      <c r="M52" t="s">
        <v>760</v>
      </c>
      <c r="N52" t="s">
        <v>994</v>
      </c>
    </row>
    <row r="53" spans="1:14" x14ac:dyDescent="0.2">
      <c r="A53">
        <v>52</v>
      </c>
      <c r="B53" s="105" t="s">
        <v>120</v>
      </c>
      <c r="C53" s="105" t="s">
        <v>121</v>
      </c>
      <c r="D53" t="s">
        <v>159</v>
      </c>
      <c r="E53" s="105" t="s">
        <v>210</v>
      </c>
      <c r="F53" t="s">
        <v>421</v>
      </c>
      <c r="G53" s="105" t="s">
        <v>423</v>
      </c>
      <c r="H53" t="s">
        <v>410</v>
      </c>
      <c r="I53" t="s">
        <v>159</v>
      </c>
      <c r="J53" t="s">
        <v>581</v>
      </c>
      <c r="K53" s="191" t="s">
        <v>613</v>
      </c>
      <c r="L53" s="193" t="s">
        <v>658</v>
      </c>
      <c r="M53" t="s">
        <v>761</v>
      </c>
      <c r="N53" t="s">
        <v>995</v>
      </c>
    </row>
    <row r="54" spans="1:14" x14ac:dyDescent="0.2">
      <c r="A54">
        <v>53</v>
      </c>
      <c r="B54" s="58" t="s">
        <v>211</v>
      </c>
      <c r="F54" t="s">
        <v>299</v>
      </c>
      <c r="G54" t="s">
        <v>359</v>
      </c>
      <c r="H54" t="s">
        <v>411</v>
      </c>
      <c r="I54" t="s">
        <v>459</v>
      </c>
      <c r="J54" t="s">
        <v>582</v>
      </c>
      <c r="K54" s="191" t="s">
        <v>634</v>
      </c>
      <c r="L54" s="193" t="s">
        <v>686</v>
      </c>
      <c r="M54" t="s">
        <v>762</v>
      </c>
      <c r="N54" t="s">
        <v>953</v>
      </c>
    </row>
    <row r="55" spans="1:14" ht="15" x14ac:dyDescent="0.25">
      <c r="A55">
        <v>54</v>
      </c>
      <c r="B55" s="105" t="s">
        <v>52</v>
      </c>
      <c r="C55" s="99" t="s">
        <v>305</v>
      </c>
      <c r="D55" t="s">
        <v>161</v>
      </c>
      <c r="E55" t="s">
        <v>200</v>
      </c>
      <c r="F55" t="s">
        <v>52</v>
      </c>
      <c r="G55" t="s">
        <v>364</v>
      </c>
      <c r="H55" t="s">
        <v>415</v>
      </c>
      <c r="I55" t="s">
        <v>470</v>
      </c>
      <c r="J55" t="s">
        <v>583</v>
      </c>
      <c r="K55" s="191" t="s">
        <v>713</v>
      </c>
      <c r="L55" s="193" t="s">
        <v>687</v>
      </c>
      <c r="M55" t="s">
        <v>364</v>
      </c>
      <c r="N55" t="s">
        <v>954</v>
      </c>
    </row>
    <row r="56" spans="1:14" ht="15" x14ac:dyDescent="0.25">
      <c r="A56">
        <v>55</v>
      </c>
      <c r="B56" s="105" t="s">
        <v>247</v>
      </c>
      <c r="C56" s="99" t="s">
        <v>3</v>
      </c>
      <c r="D56" t="s">
        <v>162</v>
      </c>
      <c r="E56" t="s">
        <v>910</v>
      </c>
      <c r="F56" t="s">
        <v>300</v>
      </c>
      <c r="G56" t="s">
        <v>322</v>
      </c>
      <c r="H56" t="s">
        <v>416</v>
      </c>
      <c r="I56" t="s">
        <v>460</v>
      </c>
      <c r="J56" t="s">
        <v>584</v>
      </c>
      <c r="K56" s="191" t="s">
        <v>603</v>
      </c>
      <c r="L56" s="143" t="s">
        <v>688</v>
      </c>
      <c r="M56" t="s">
        <v>763</v>
      </c>
      <c r="N56" t="s">
        <v>955</v>
      </c>
    </row>
    <row r="57" spans="1:14" ht="15" x14ac:dyDescent="0.25">
      <c r="A57">
        <v>56</v>
      </c>
      <c r="B57" s="105" t="s">
        <v>248</v>
      </c>
      <c r="C57" s="99" t="s">
        <v>4</v>
      </c>
      <c r="D57" t="s">
        <v>163</v>
      </c>
      <c r="E57" s="105" t="s">
        <v>912</v>
      </c>
      <c r="F57" t="s">
        <v>264</v>
      </c>
      <c r="G57" s="105" t="s">
        <v>264</v>
      </c>
      <c r="H57" t="s">
        <v>417</v>
      </c>
      <c r="I57" t="s">
        <v>471</v>
      </c>
      <c r="J57" t="s">
        <v>585</v>
      </c>
      <c r="K57" s="191" t="s">
        <v>605</v>
      </c>
      <c r="L57" s="143" t="s">
        <v>689</v>
      </c>
      <c r="M57" t="s">
        <v>764</v>
      </c>
      <c r="N57" t="s">
        <v>933</v>
      </c>
    </row>
    <row r="58" spans="1:14" ht="15" x14ac:dyDescent="0.25">
      <c r="A58">
        <v>57</v>
      </c>
      <c r="B58" s="105" t="s">
        <v>251</v>
      </c>
      <c r="C58" s="99" t="s">
        <v>306</v>
      </c>
      <c r="D58" t="s">
        <v>164</v>
      </c>
      <c r="E58" s="105" t="s">
        <v>909</v>
      </c>
      <c r="F58" t="s">
        <v>301</v>
      </c>
      <c r="G58" s="105" t="s">
        <v>363</v>
      </c>
      <c r="H58" t="s">
        <v>418</v>
      </c>
      <c r="I58" t="s">
        <v>472</v>
      </c>
      <c r="J58" t="s">
        <v>586</v>
      </c>
      <c r="K58" s="191" t="s">
        <v>702</v>
      </c>
      <c r="L58" s="143" t="s">
        <v>690</v>
      </c>
      <c r="M58" t="s">
        <v>765</v>
      </c>
      <c r="N58" t="s">
        <v>956</v>
      </c>
    </row>
    <row r="59" spans="1:14" x14ac:dyDescent="0.2">
      <c r="A59">
        <v>58</v>
      </c>
      <c r="B59" s="58" t="s">
        <v>212</v>
      </c>
      <c r="G59" t="s">
        <v>360</v>
      </c>
      <c r="H59" t="s">
        <v>412</v>
      </c>
      <c r="I59" t="s">
        <v>461</v>
      </c>
      <c r="J59" t="s">
        <v>587</v>
      </c>
      <c r="K59" s="191" t="s">
        <v>635</v>
      </c>
      <c r="L59" s="143" t="s">
        <v>691</v>
      </c>
      <c r="M59" t="s">
        <v>766</v>
      </c>
      <c r="N59" t="s">
        <v>957</v>
      </c>
    </row>
    <row r="60" spans="1:14" ht="15" x14ac:dyDescent="0.25">
      <c r="A60">
        <v>59</v>
      </c>
      <c r="B60" s="105" t="s">
        <v>249</v>
      </c>
      <c r="C60" s="99" t="s">
        <v>0</v>
      </c>
      <c r="D60" t="s">
        <v>165</v>
      </c>
      <c r="E60" s="106" t="s">
        <v>245</v>
      </c>
      <c r="F60" t="s">
        <v>259</v>
      </c>
      <c r="G60" s="106" t="s">
        <v>319</v>
      </c>
      <c r="H60" t="s">
        <v>492</v>
      </c>
      <c r="I60" t="s">
        <v>479</v>
      </c>
      <c r="J60" t="s">
        <v>588</v>
      </c>
      <c r="K60" s="191" t="s">
        <v>714</v>
      </c>
      <c r="L60" s="143" t="s">
        <v>692</v>
      </c>
      <c r="M60" t="s">
        <v>767</v>
      </c>
      <c r="N60" t="s">
        <v>958</v>
      </c>
    </row>
    <row r="61" spans="1:14" ht="15" x14ac:dyDescent="0.25">
      <c r="A61">
        <v>60</v>
      </c>
      <c r="B61" s="105" t="s">
        <v>250</v>
      </c>
      <c r="C61" s="99" t="s">
        <v>252</v>
      </c>
      <c r="D61" t="s">
        <v>166</v>
      </c>
      <c r="E61" s="105" t="s">
        <v>246</v>
      </c>
      <c r="F61" t="s">
        <v>260</v>
      </c>
      <c r="G61" t="s">
        <v>320</v>
      </c>
      <c r="H61" t="s">
        <v>493</v>
      </c>
      <c r="I61" t="s">
        <v>480</v>
      </c>
      <c r="J61" t="s">
        <v>589</v>
      </c>
      <c r="K61" s="191" t="s">
        <v>715</v>
      </c>
      <c r="L61" s="143" t="s">
        <v>693</v>
      </c>
      <c r="M61" t="s">
        <v>768</v>
      </c>
      <c r="N61" t="s">
        <v>959</v>
      </c>
    </row>
    <row r="62" spans="1:14" ht="15" x14ac:dyDescent="0.25">
      <c r="A62">
        <v>61</v>
      </c>
      <c r="B62" s="105" t="s">
        <v>32</v>
      </c>
      <c r="C62" s="99" t="s">
        <v>3</v>
      </c>
      <c r="D62" t="s">
        <v>162</v>
      </c>
      <c r="E62" s="105" t="s">
        <v>910</v>
      </c>
      <c r="F62" t="s">
        <v>302</v>
      </c>
      <c r="G62" t="s">
        <v>322</v>
      </c>
      <c r="H62" t="s">
        <v>374</v>
      </c>
      <c r="I62" t="s">
        <v>473</v>
      </c>
      <c r="J62" t="s">
        <v>544</v>
      </c>
      <c r="K62" s="191" t="s">
        <v>603</v>
      </c>
      <c r="L62" s="143" t="s">
        <v>694</v>
      </c>
      <c r="M62" t="s">
        <v>724</v>
      </c>
      <c r="N62" t="s">
        <v>931</v>
      </c>
    </row>
    <row r="63" spans="1:14" ht="15" x14ac:dyDescent="0.25">
      <c r="A63">
        <v>62</v>
      </c>
      <c r="B63" s="105" t="s">
        <v>53</v>
      </c>
      <c r="C63" s="99" t="s">
        <v>253</v>
      </c>
      <c r="D63" t="s">
        <v>167</v>
      </c>
      <c r="E63" s="105" t="s">
        <v>911</v>
      </c>
      <c r="F63" t="s">
        <v>303</v>
      </c>
      <c r="G63" t="s">
        <v>362</v>
      </c>
      <c r="H63" t="s">
        <v>419</v>
      </c>
      <c r="I63" t="s">
        <v>474</v>
      </c>
      <c r="J63" t="s">
        <v>590</v>
      </c>
      <c r="K63" s="191" t="s">
        <v>636</v>
      </c>
      <c r="L63" s="143" t="s">
        <v>695</v>
      </c>
      <c r="M63" t="s">
        <v>769</v>
      </c>
      <c r="N63" t="s">
        <v>960</v>
      </c>
    </row>
    <row r="64" spans="1:14" ht="15" x14ac:dyDescent="0.25">
      <c r="A64">
        <v>63</v>
      </c>
      <c r="B64" s="105" t="s">
        <v>251</v>
      </c>
      <c r="C64" s="99" t="s">
        <v>254</v>
      </c>
      <c r="D64" t="s">
        <v>164</v>
      </c>
      <c r="E64" s="105" t="s">
        <v>909</v>
      </c>
      <c r="F64" t="s">
        <v>304</v>
      </c>
      <c r="G64" s="105" t="s">
        <v>363</v>
      </c>
      <c r="H64" t="s">
        <v>418</v>
      </c>
      <c r="I64" t="s">
        <v>472</v>
      </c>
      <c r="J64" t="s">
        <v>586</v>
      </c>
      <c r="K64" s="191" t="s">
        <v>702</v>
      </c>
      <c r="L64" s="143" t="s">
        <v>696</v>
      </c>
      <c r="M64" t="s">
        <v>765</v>
      </c>
      <c r="N64" t="s">
        <v>956</v>
      </c>
    </row>
    <row r="65" spans="1:14" x14ac:dyDescent="0.2">
      <c r="A65">
        <v>64</v>
      </c>
      <c r="K65" s="189"/>
    </row>
    <row r="66" spans="1:14" x14ac:dyDescent="0.2">
      <c r="A66">
        <v>65</v>
      </c>
      <c r="B66" s="105" t="s">
        <v>239</v>
      </c>
      <c r="C66" s="105" t="s">
        <v>239</v>
      </c>
      <c r="D66" s="105" t="s">
        <v>239</v>
      </c>
      <c r="E66" s="105" t="s">
        <v>239</v>
      </c>
      <c r="F66" s="105" t="s">
        <v>239</v>
      </c>
      <c r="G66" s="105" t="s">
        <v>239</v>
      </c>
      <c r="H66" t="s">
        <v>239</v>
      </c>
      <c r="I66" t="s">
        <v>239</v>
      </c>
      <c r="J66" t="s">
        <v>239</v>
      </c>
      <c r="K66" s="189" t="s">
        <v>239</v>
      </c>
      <c r="L66" s="189" t="s">
        <v>239</v>
      </c>
      <c r="M66" t="s">
        <v>239</v>
      </c>
      <c r="N66" t="s">
        <v>239</v>
      </c>
    </row>
    <row r="67" spans="1:14" x14ac:dyDescent="0.2">
      <c r="A67">
        <v>66</v>
      </c>
      <c r="B67" s="105" t="s">
        <v>240</v>
      </c>
      <c r="C67" s="105" t="s">
        <v>240</v>
      </c>
      <c r="D67" s="105" t="s">
        <v>240</v>
      </c>
      <c r="E67" s="105" t="s">
        <v>240</v>
      </c>
      <c r="F67" s="105" t="s">
        <v>240</v>
      </c>
      <c r="G67" s="105" t="s">
        <v>240</v>
      </c>
      <c r="H67" t="s">
        <v>240</v>
      </c>
      <c r="I67" t="s">
        <v>462</v>
      </c>
      <c r="J67" t="s">
        <v>240</v>
      </c>
      <c r="K67" s="189" t="s">
        <v>240</v>
      </c>
      <c r="L67" s="189" t="s">
        <v>240</v>
      </c>
      <c r="M67" t="s">
        <v>240</v>
      </c>
      <c r="N67" t="s">
        <v>240</v>
      </c>
    </row>
    <row r="68" spans="1:14" x14ac:dyDescent="0.2">
      <c r="A68">
        <v>67</v>
      </c>
      <c r="B68" s="105" t="s">
        <v>243</v>
      </c>
      <c r="C68" s="105" t="s">
        <v>243</v>
      </c>
      <c r="D68" s="105" t="s">
        <v>243</v>
      </c>
      <c r="E68" s="105" t="s">
        <v>243</v>
      </c>
      <c r="F68" s="105" t="s">
        <v>243</v>
      </c>
      <c r="G68" s="105" t="s">
        <v>243</v>
      </c>
      <c r="H68" t="s">
        <v>464</v>
      </c>
      <c r="I68" t="s">
        <v>243</v>
      </c>
      <c r="J68" t="s">
        <v>243</v>
      </c>
      <c r="K68" s="189" t="s">
        <v>243</v>
      </c>
      <c r="L68" s="189" t="s">
        <v>243</v>
      </c>
      <c r="M68" t="s">
        <v>243</v>
      </c>
      <c r="N68" t="s">
        <v>243</v>
      </c>
    </row>
    <row r="69" spans="1:14" x14ac:dyDescent="0.2">
      <c r="A69">
        <v>68</v>
      </c>
      <c r="B69" s="105" t="s">
        <v>242</v>
      </c>
      <c r="C69" s="105" t="s">
        <v>242</v>
      </c>
      <c r="D69" s="105" t="s">
        <v>242</v>
      </c>
      <c r="E69" s="105" t="s">
        <v>242</v>
      </c>
      <c r="F69" s="105" t="s">
        <v>242</v>
      </c>
      <c r="G69" s="105" t="s">
        <v>242</v>
      </c>
      <c r="H69" t="s">
        <v>242</v>
      </c>
      <c r="I69" t="s">
        <v>242</v>
      </c>
      <c r="J69" t="s">
        <v>242</v>
      </c>
      <c r="K69" s="189" t="s">
        <v>242</v>
      </c>
      <c r="L69" s="189" t="s">
        <v>242</v>
      </c>
      <c r="M69" t="s">
        <v>242</v>
      </c>
      <c r="N69" t="s">
        <v>242</v>
      </c>
    </row>
    <row r="70" spans="1:14" x14ac:dyDescent="0.2">
      <c r="A70">
        <v>69</v>
      </c>
      <c r="K70" s="189"/>
      <c r="L70" s="189"/>
    </row>
    <row r="71" spans="1:14" x14ac:dyDescent="0.2">
      <c r="A71">
        <v>70</v>
      </c>
      <c r="B71" s="105" t="s">
        <v>239</v>
      </c>
      <c r="C71" s="105" t="s">
        <v>239</v>
      </c>
      <c r="D71" s="105" t="s">
        <v>239</v>
      </c>
      <c r="E71" s="105" t="s">
        <v>239</v>
      </c>
      <c r="F71" s="105" t="s">
        <v>239</v>
      </c>
      <c r="G71" s="105" t="s">
        <v>239</v>
      </c>
      <c r="H71" t="s">
        <v>239</v>
      </c>
      <c r="I71" t="s">
        <v>239</v>
      </c>
      <c r="J71" t="s">
        <v>239</v>
      </c>
      <c r="K71" s="189" t="s">
        <v>239</v>
      </c>
      <c r="L71" s="189" t="s">
        <v>239</v>
      </c>
      <c r="M71" t="s">
        <v>239</v>
      </c>
      <c r="N71" t="s">
        <v>239</v>
      </c>
    </row>
    <row r="72" spans="1:14" x14ac:dyDescent="0.2">
      <c r="A72">
        <v>71</v>
      </c>
      <c r="B72" s="105" t="s">
        <v>239</v>
      </c>
      <c r="C72" s="105" t="s">
        <v>239</v>
      </c>
      <c r="D72" s="105" t="s">
        <v>239</v>
      </c>
      <c r="E72" s="105" t="s">
        <v>239</v>
      </c>
      <c r="F72" s="105" t="s">
        <v>239</v>
      </c>
      <c r="G72" s="105" t="s">
        <v>239</v>
      </c>
      <c r="H72" t="s">
        <v>239</v>
      </c>
      <c r="I72" t="s">
        <v>239</v>
      </c>
      <c r="J72" t="s">
        <v>239</v>
      </c>
      <c r="K72" s="189" t="s">
        <v>239</v>
      </c>
      <c r="L72" s="189" t="s">
        <v>239</v>
      </c>
      <c r="M72" t="s">
        <v>239</v>
      </c>
      <c r="N72" t="s">
        <v>239</v>
      </c>
    </row>
    <row r="73" spans="1:14" x14ac:dyDescent="0.2">
      <c r="A73">
        <v>72</v>
      </c>
      <c r="B73" s="105" t="s">
        <v>244</v>
      </c>
      <c r="C73" s="105" t="s">
        <v>244</v>
      </c>
      <c r="D73" s="105" t="s">
        <v>244</v>
      </c>
      <c r="E73" s="105" t="s">
        <v>244</v>
      </c>
      <c r="F73" s="105" t="s">
        <v>244</v>
      </c>
      <c r="G73" s="105" t="s">
        <v>244</v>
      </c>
      <c r="H73" t="s">
        <v>240</v>
      </c>
      <c r="I73" t="s">
        <v>462</v>
      </c>
      <c r="J73" t="s">
        <v>244</v>
      </c>
      <c r="K73" s="189" t="s">
        <v>240</v>
      </c>
      <c r="L73" s="189" t="s">
        <v>240</v>
      </c>
      <c r="M73" t="s">
        <v>244</v>
      </c>
      <c r="N73" t="s">
        <v>244</v>
      </c>
    </row>
    <row r="74" spans="1:14" x14ac:dyDescent="0.2">
      <c r="A74">
        <v>73</v>
      </c>
      <c r="B74" s="105" t="s">
        <v>241</v>
      </c>
      <c r="C74" s="105" t="s">
        <v>241</v>
      </c>
      <c r="D74" s="105" t="s">
        <v>241</v>
      </c>
      <c r="E74" s="105" t="s">
        <v>241</v>
      </c>
      <c r="F74" s="105" t="s">
        <v>241</v>
      </c>
      <c r="G74" s="105" t="s">
        <v>361</v>
      </c>
      <c r="H74" t="s">
        <v>424</v>
      </c>
      <c r="I74" t="s">
        <v>463</v>
      </c>
      <c r="J74" t="s">
        <v>241</v>
      </c>
      <c r="K74" s="189" t="s">
        <v>241</v>
      </c>
      <c r="L74" s="189" t="s">
        <v>241</v>
      </c>
      <c r="M74" t="s">
        <v>241</v>
      </c>
      <c r="N74" t="s">
        <v>241</v>
      </c>
    </row>
    <row r="75" spans="1:14" x14ac:dyDescent="0.2">
      <c r="A75">
        <v>74</v>
      </c>
      <c r="B75" s="105" t="s">
        <v>242</v>
      </c>
      <c r="C75" s="105" t="s">
        <v>242</v>
      </c>
      <c r="D75" s="105" t="s">
        <v>242</v>
      </c>
      <c r="E75" s="105" t="s">
        <v>242</v>
      </c>
      <c r="F75" s="105" t="s">
        <v>242</v>
      </c>
      <c r="G75" s="105" t="s">
        <v>242</v>
      </c>
      <c r="H75" t="s">
        <v>242</v>
      </c>
      <c r="I75" t="s">
        <v>242</v>
      </c>
      <c r="J75" t="s">
        <v>242</v>
      </c>
      <c r="K75" s="189" t="s">
        <v>242</v>
      </c>
      <c r="L75" s="189" t="s">
        <v>242</v>
      </c>
      <c r="M75" t="s">
        <v>242</v>
      </c>
      <c r="N75" t="s">
        <v>242</v>
      </c>
    </row>
    <row r="76" spans="1:14" x14ac:dyDescent="0.2">
      <c r="A76">
        <v>75</v>
      </c>
      <c r="B76" t="s">
        <v>883</v>
      </c>
      <c r="C76" s="105" t="s">
        <v>886</v>
      </c>
      <c r="E76" t="s">
        <v>905</v>
      </c>
      <c r="F76" s="105" t="s">
        <v>968</v>
      </c>
      <c r="I76" t="s">
        <v>894</v>
      </c>
      <c r="K76" s="189"/>
      <c r="N76" t="s">
        <v>961</v>
      </c>
    </row>
    <row r="77" spans="1:14" x14ac:dyDescent="0.2">
      <c r="A77">
        <v>76</v>
      </c>
      <c r="B77" s="105" t="s">
        <v>903</v>
      </c>
      <c r="C77" s="105" t="s">
        <v>900</v>
      </c>
      <c r="E77" t="s">
        <v>906</v>
      </c>
      <c r="I77" s="105" t="s">
        <v>896</v>
      </c>
      <c r="K77" s="189"/>
      <c r="N77" t="s">
        <v>996</v>
      </c>
    </row>
    <row r="78" spans="1:14" x14ac:dyDescent="0.2">
      <c r="A78">
        <v>77</v>
      </c>
      <c r="B78" s="105" t="s">
        <v>885</v>
      </c>
      <c r="C78" s="105" t="s">
        <v>887</v>
      </c>
      <c r="E78" t="s">
        <v>907</v>
      </c>
      <c r="I78" t="s">
        <v>895</v>
      </c>
      <c r="K78" s="189"/>
      <c r="N78" t="s">
        <v>962</v>
      </c>
    </row>
    <row r="79" spans="1:14" x14ac:dyDescent="0.2">
      <c r="A79">
        <v>78</v>
      </c>
      <c r="B79" s="105" t="s">
        <v>898</v>
      </c>
      <c r="C79" s="105" t="s">
        <v>901</v>
      </c>
      <c r="E79" t="s">
        <v>908</v>
      </c>
      <c r="I79" t="s">
        <v>899</v>
      </c>
      <c r="K79" s="189"/>
      <c r="N79" t="s">
        <v>963</v>
      </c>
    </row>
    <row r="80" spans="1:14" x14ac:dyDescent="0.2">
      <c r="A80">
        <v>79</v>
      </c>
      <c r="B80" s="105" t="s">
        <v>964</v>
      </c>
      <c r="C80" s="105" t="s">
        <v>965</v>
      </c>
      <c r="E80" s="105" t="s">
        <v>965</v>
      </c>
      <c r="I80" s="105" t="s">
        <v>967</v>
      </c>
      <c r="K80" s="189"/>
      <c r="N80" s="105" t="s">
        <v>966</v>
      </c>
    </row>
    <row r="81" spans="1:14" x14ac:dyDescent="0.2">
      <c r="A81">
        <v>80</v>
      </c>
      <c r="B81" s="105" t="s">
        <v>902</v>
      </c>
      <c r="C81" s="105" t="s">
        <v>970</v>
      </c>
      <c r="E81" s="105" t="s">
        <v>973</v>
      </c>
      <c r="I81" s="105" t="s">
        <v>972</v>
      </c>
      <c r="N81" s="105" t="s">
        <v>971</v>
      </c>
    </row>
    <row r="82" spans="1:14" x14ac:dyDescent="0.2">
      <c r="A82">
        <v>81</v>
      </c>
    </row>
    <row r="83" spans="1:14" x14ac:dyDescent="0.2">
      <c r="A83">
        <v>82</v>
      </c>
    </row>
    <row r="84" spans="1:14" x14ac:dyDescent="0.2">
      <c r="A84">
        <v>83</v>
      </c>
    </row>
    <row r="85" spans="1:14" x14ac:dyDescent="0.2">
      <c r="A85">
        <v>84</v>
      </c>
    </row>
    <row r="86" spans="1:14" x14ac:dyDescent="0.2">
      <c r="A86">
        <v>85</v>
      </c>
    </row>
    <row r="87" spans="1:14" x14ac:dyDescent="0.2">
      <c r="A87">
        <v>86</v>
      </c>
    </row>
    <row r="88" spans="1:14" x14ac:dyDescent="0.2">
      <c r="A88">
        <v>87</v>
      </c>
    </row>
    <row r="89" spans="1:14" x14ac:dyDescent="0.2">
      <c r="A89">
        <v>88</v>
      </c>
    </row>
    <row r="90" spans="1:14" x14ac:dyDescent="0.2">
      <c r="A90">
        <v>89</v>
      </c>
    </row>
    <row r="91" spans="1:14" x14ac:dyDescent="0.2">
      <c r="A91">
        <v>90</v>
      </c>
    </row>
    <row r="92" spans="1:14" x14ac:dyDescent="0.2">
      <c r="A92">
        <v>91</v>
      </c>
    </row>
    <row r="93" spans="1:14" x14ac:dyDescent="0.2">
      <c r="A93">
        <v>92</v>
      </c>
    </row>
    <row r="94" spans="1:14" x14ac:dyDescent="0.2">
      <c r="A94">
        <v>93</v>
      </c>
    </row>
    <row r="95" spans="1:14" x14ac:dyDescent="0.2">
      <c r="A95">
        <v>94</v>
      </c>
    </row>
    <row r="96" spans="1:14" x14ac:dyDescent="0.2">
      <c r="A96">
        <v>95</v>
      </c>
    </row>
    <row r="97" spans="1:1" x14ac:dyDescent="0.2">
      <c r="A97">
        <v>96</v>
      </c>
    </row>
    <row r="98" spans="1:1" x14ac:dyDescent="0.2">
      <c r="A98">
        <v>97</v>
      </c>
    </row>
    <row r="99" spans="1:1" x14ac:dyDescent="0.2">
      <c r="A99">
        <v>98</v>
      </c>
    </row>
    <row r="100" spans="1:1" x14ac:dyDescent="0.2">
      <c r="A100">
        <v>99</v>
      </c>
    </row>
    <row r="101" spans="1:1" x14ac:dyDescent="0.2">
      <c r="A101">
        <v>100</v>
      </c>
    </row>
  </sheetData>
  <autoFilter ref="A1:J101"/>
  <customSheetViews>
    <customSheetView guid="{D3C035BD-38DA-40E9-B8C6-982F4670808B}" state="hidden">
      <pageMargins left="0.7" right="0.7" top="0.78740157499999996" bottom="0.78740157499999996" header="0.3" footer="0.3"/>
      <pageSetup paperSize="9" orientation="portrait" r:id="rId1"/>
    </customSheetView>
  </customSheetViews>
  <conditionalFormatting sqref="H64">
    <cfRule type="expression" dxfId="1" priority="3">
      <formula>$F$29="E"</formula>
    </cfRule>
  </conditionalFormatting>
  <conditionalFormatting sqref="H61">
    <cfRule type="expression" dxfId="0" priority="4" stopIfTrue="1">
      <formula>AND($F$29="D",H61&gt;H60)</formula>
    </cfRule>
  </conditionalFormatting>
  <pageMargins left="0.7" right="0.7" top="0.78740157499999996" bottom="0.78740157499999996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C19"/>
  <sheetViews>
    <sheetView workbookViewId="0">
      <selection activeCell="C20" sqref="C20"/>
    </sheetView>
  </sheetViews>
  <sheetFormatPr defaultColWidth="11.42578125" defaultRowHeight="12.75" x14ac:dyDescent="0.2"/>
  <cols>
    <col min="1" max="1" width="10.5703125" bestFit="1" customWidth="1"/>
    <col min="2" max="2" width="18" bestFit="1" customWidth="1"/>
    <col min="3" max="3" width="97.42578125" bestFit="1" customWidth="1"/>
  </cols>
  <sheetData>
    <row r="1" spans="1:3" x14ac:dyDescent="0.2">
      <c r="B1" t="s">
        <v>168</v>
      </c>
    </row>
    <row r="2" spans="1:3" x14ac:dyDescent="0.2">
      <c r="B2" t="s">
        <v>169</v>
      </c>
    </row>
    <row r="4" spans="1:3" s="101" customFormat="1" x14ac:dyDescent="0.2">
      <c r="A4" s="101" t="s">
        <v>171</v>
      </c>
      <c r="B4" s="101" t="s">
        <v>170</v>
      </c>
      <c r="C4" s="102" t="s">
        <v>172</v>
      </c>
    </row>
    <row r="5" spans="1:3" x14ac:dyDescent="0.2">
      <c r="A5" t="s">
        <v>222</v>
      </c>
      <c r="B5" s="100">
        <v>40212</v>
      </c>
      <c r="C5" s="105" t="s">
        <v>221</v>
      </c>
    </row>
    <row r="6" spans="1:3" x14ac:dyDescent="0.2">
      <c r="A6" t="s">
        <v>222</v>
      </c>
      <c r="B6" s="100">
        <v>40218</v>
      </c>
      <c r="C6" s="105" t="s">
        <v>223</v>
      </c>
    </row>
    <row r="7" spans="1:3" x14ac:dyDescent="0.2">
      <c r="A7" t="s">
        <v>489</v>
      </c>
      <c r="B7" s="100">
        <v>40260</v>
      </c>
      <c r="C7" t="s">
        <v>490</v>
      </c>
    </row>
    <row r="8" spans="1:3" x14ac:dyDescent="0.2">
      <c r="A8" t="s">
        <v>496</v>
      </c>
      <c r="B8" s="100">
        <v>40333</v>
      </c>
      <c r="C8" t="s">
        <v>497</v>
      </c>
    </row>
    <row r="9" spans="1:3" x14ac:dyDescent="0.2">
      <c r="A9" s="105" t="s">
        <v>504</v>
      </c>
      <c r="B9" s="100">
        <v>40385</v>
      </c>
      <c r="C9" s="105" t="s">
        <v>505</v>
      </c>
    </row>
    <row r="10" spans="1:3" x14ac:dyDescent="0.2">
      <c r="C10" s="105" t="s">
        <v>532</v>
      </c>
    </row>
    <row r="11" spans="1:3" x14ac:dyDescent="0.2">
      <c r="C11" s="105" t="s">
        <v>506</v>
      </c>
    </row>
    <row r="12" spans="1:3" x14ac:dyDescent="0.2">
      <c r="C12" s="105" t="s">
        <v>533</v>
      </c>
    </row>
    <row r="13" spans="1:3" x14ac:dyDescent="0.2">
      <c r="A13" s="105" t="s">
        <v>596</v>
      </c>
      <c r="B13" s="100">
        <v>40465</v>
      </c>
      <c r="C13" s="105" t="s">
        <v>637</v>
      </c>
    </row>
    <row r="14" spans="1:3" x14ac:dyDescent="0.2">
      <c r="B14" s="100">
        <v>40471</v>
      </c>
      <c r="C14" s="105" t="s">
        <v>697</v>
      </c>
    </row>
    <row r="15" spans="1:3" x14ac:dyDescent="0.2">
      <c r="B15" s="100">
        <v>40478</v>
      </c>
      <c r="C15" s="105" t="s">
        <v>700</v>
      </c>
    </row>
    <row r="16" spans="1:3" x14ac:dyDescent="0.2">
      <c r="A16" s="105" t="s">
        <v>638</v>
      </c>
      <c r="B16" s="100">
        <v>40609</v>
      </c>
      <c r="C16" s="105" t="s">
        <v>770</v>
      </c>
    </row>
    <row r="17" spans="1:3" x14ac:dyDescent="0.2">
      <c r="A17" s="105" t="s">
        <v>796</v>
      </c>
      <c r="B17" s="100">
        <v>40714</v>
      </c>
      <c r="C17" s="105" t="s">
        <v>888</v>
      </c>
    </row>
    <row r="18" spans="1:3" x14ac:dyDescent="0.2">
      <c r="A18" s="105" t="s">
        <v>904</v>
      </c>
      <c r="B18" s="100">
        <v>40729</v>
      </c>
      <c r="C18" s="105" t="s">
        <v>969</v>
      </c>
    </row>
    <row r="19" spans="1:3" x14ac:dyDescent="0.2">
      <c r="A19" s="105" t="s">
        <v>974</v>
      </c>
      <c r="B19" s="100">
        <v>40744</v>
      </c>
      <c r="C19" s="105" t="s">
        <v>975</v>
      </c>
    </row>
  </sheetData>
  <customSheetViews>
    <customSheetView guid="{D3C035BD-38DA-40E9-B8C6-982F4670808B}" state="hidden">
      <selection activeCell="A7" sqref="A7"/>
      <pageMargins left="0.7" right="0.7" top="0.78740157499999996" bottom="0.78740157499999996" header="0.3" footer="0.3"/>
      <pageSetup paperSize="9" orientation="portrait" r:id="rId1"/>
    </customSheetView>
  </customSheetView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INTRO</vt:lpstr>
      <vt:lpstr>CALC</vt:lpstr>
      <vt:lpstr>PRINTOUT</vt:lpstr>
      <vt:lpstr>HEATLOSS</vt:lpstr>
      <vt:lpstr>PARAMETER_R</vt:lpstr>
      <vt:lpstr>PARAMETER_HL</vt:lpstr>
      <vt:lpstr>TEMPERATUR</vt:lpstr>
      <vt:lpstr>Language</vt:lpstr>
      <vt:lpstr>Release Info</vt:lpstr>
      <vt:lpstr>Dimension</vt:lpstr>
      <vt:lpstr>fillflow</vt:lpstr>
      <vt:lpstr>FILLHEAT</vt:lpstr>
      <vt:lpstr>FILLRETURN</vt:lpstr>
      <vt:lpstr>FILLTRENCH</vt:lpstr>
      <vt:lpstr>PARAMETER_HL!Print_Area</vt:lpstr>
      <vt:lpstr>PRINTOUT!Print_Area</vt:lpstr>
      <vt:lpstr>Type</vt:lpstr>
    </vt:vector>
  </TitlesOfParts>
  <Company>THERMAFLEX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Quickcalc A_B</dc:title>
  <dc:subject>Short net Calculation PB</dc:subject>
  <dc:creator>HD;MT</dc:creator>
  <cp:lastModifiedBy>Markus Thuernbeck</cp:lastModifiedBy>
  <cp:lastPrinted>2011-06-20T08:13:53Z</cp:lastPrinted>
  <dcterms:created xsi:type="dcterms:W3CDTF">1996-09-11T03:17:55Z</dcterms:created>
  <dcterms:modified xsi:type="dcterms:W3CDTF">2011-07-20T10:24:43Z</dcterms:modified>
</cp:coreProperties>
</file>